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0C29AC8D-A070-41C8-A966-250254372D3E}" xr6:coauthVersionLast="36" xr6:coauthVersionMax="36" xr10:uidLastSave="{00000000-0000-0000-0000-000000000000}"/>
  <bookViews>
    <workbookView xWindow="0" yWindow="0" windowWidth="23040" windowHeight="11124" tabRatio="887" activeTab="1"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Input_Beschaffung!$C$20</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Grunddaten!$I$53</definedName>
    <definedName name="Batterie1">Eingabe_Angebotswerte!$E$22</definedName>
    <definedName name="Batterie2">Eingabe_Angebotswerte!$F$22</definedName>
    <definedName name="Batterie3">Eingabe_Angebotswerte!$G$22</definedName>
    <definedName name="Batterie4">Eingabe_Angebotswerte!$H$22</definedName>
    <definedName name="Batterie5">Eingabe_Angebotswerte!$I$22</definedName>
    <definedName name="CO2_1">Eingabe_Angebotswerte!$E$18</definedName>
    <definedName name="CO2_2">Eingabe_Angebotswerte!$F$18</definedName>
    <definedName name="CO2_3">Eingabe_Angebotswerte!$G$18</definedName>
    <definedName name="CO2_4">Eingabe_Angebotswerte!$H$18</definedName>
    <definedName name="CO2_5">Eingabe_Angebotswerte!$I$18</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Grunddaten!$B$35:$I$40</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Input_Beschaffung!$C$16</definedName>
    <definedName name="Fahrzeugklasse1">Eingabe_Angebotswerte!$E$13</definedName>
    <definedName name="Fahrzeugklasse2">Eingabe_Angebotswerte!$F$13</definedName>
    <definedName name="Fahrzeugklasse3">Eingabe_Angebotswerte!$G$13</definedName>
    <definedName name="Fahrzeugklasse4">Eingabe_Angebotswerte!$H$13</definedName>
    <definedName name="Fahrzeugklasse5">Eingabe_Angebotswerte!$I$13</definedName>
    <definedName name="FinArt">Input_Beschaffung!$C$18</definedName>
    <definedName name="FinArtList">Listen!$B$3:$D$5</definedName>
    <definedName name="Gesamtpreis1">Eingabe_Angebotswerte!$E$14</definedName>
    <definedName name="Gesamtpreis2">Eingabe_Angebotswerte!$F$14</definedName>
    <definedName name="Gesamtpreis3">Eingabe_Angebotswerte!$G$14</definedName>
    <definedName name="Gesamtpreis4">Eingabe_Angebotswerte!$H$14</definedName>
    <definedName name="Gesamtpreis5">Eingabe_Angebotswerte!$I$14</definedName>
    <definedName name="Haltedauer">Input_Beschaffung!$C$22</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Input_Beschaffung!$C$24</definedName>
    <definedName name="KaufpreisRechList">Listen!$B$8:$B$9</definedName>
    <definedName name="Kost_NOX">Grunddaten!$I$48</definedName>
    <definedName name="Kost_Partikel">Grunddaten!$I$49</definedName>
    <definedName name="Kost_THG">Grunddaten!$I$46</definedName>
    <definedName name="KostTHGList">Listen!$B$46:$B$47</definedName>
    <definedName name="KostTHGVorgabe">Input_Beschaffung!$C$27</definedName>
    <definedName name="Laderaum">Input_Beschaffung!$C$13</definedName>
    <definedName name="LeasSondZahl1">Eingabe_Angebotswerte!$E$15</definedName>
    <definedName name="LeasSondZahl2">Eingabe_Angebotswerte!$F$15</definedName>
    <definedName name="LeasSondZahl3">Eingabe_Angebotswerte!$G$15</definedName>
    <definedName name="LeasSondZahl4">Eingabe_Angebotswerte!$H$15</definedName>
    <definedName name="LeasSondZahl5">Eingabe_Angebotswerte!$I$15</definedName>
    <definedName name="max_Verbrauch_PHEV_kWh">Grunddaten!$I$19</definedName>
    <definedName name="max_Verbrauch_PHEV_l">Grunddaten!$I$18</definedName>
    <definedName name="max_Verbrauch_Verbrenner">Grunddaten!$I$17</definedName>
    <definedName name="maxCO2_1000kg">Grunddaten!$I$9</definedName>
    <definedName name="maxCO2_1300kg">Grunddaten!$I$10</definedName>
    <definedName name="maxCO2_700kg">Grunddaten!$I$8</definedName>
    <definedName name="maxCO2_größer1300kg">Grunddaten!$I$11</definedName>
    <definedName name="maxCO2_Laderaum">Grunddaten!$I$7</definedName>
    <definedName name="maxCO2PHEV">Grunddaten!$I$12</definedName>
    <definedName name="maxkWh_1000kg">Grunddaten!$I$15</definedName>
    <definedName name="maxkWh_700kg">Grunddaten!$I$14</definedName>
    <definedName name="maxkWh_größer1000kg">Grunddaten!$I$16</definedName>
    <definedName name="maxkWh_Laderaum">Grunddaten!$I$13</definedName>
    <definedName name="maxNOX_N1I">Grunddaten!$I$21</definedName>
    <definedName name="maxNOX_N1II">Grunddaten!$I$22</definedName>
    <definedName name="maxNOX_N1III">Grunddaten!$I$23</definedName>
    <definedName name="maxPM">Grunddaten!$I$24</definedName>
    <definedName name="minReichwPHEV">Grunddaten!$I$25</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1I">Listen!$B$41</definedName>
    <definedName name="N1II">Listen!$B$42</definedName>
    <definedName name="N1III">Listen!$B$43</definedName>
    <definedName name="NOX_1">Eingabe_Angebotswerte!$E$19</definedName>
    <definedName name="NOX_2">Eingabe_Angebotswerte!$F$19</definedName>
    <definedName name="NOX_3">Eingabe_Angebotswerte!$G$19</definedName>
    <definedName name="NOX_4">Eingabe_Angebotswerte!$H$19</definedName>
    <definedName name="NOX_5">Eingabe_Angebotswerte!$I$19</definedName>
    <definedName name="Partikel1">Eingabe_Angebotswerte!$E$20</definedName>
    <definedName name="Partikel2">Eingabe_Angebotswerte!$F$20</definedName>
    <definedName name="Partikel3">Eingabe_Angebotswerte!$G$20</definedName>
    <definedName name="Partikel4">Eingabe_Angebotswerte!$H$20</definedName>
    <definedName name="Partikel5">Eingabe_Angebotswerte!$I$20</definedName>
    <definedName name="Projektname">Input_Beschaffung!$C$6</definedName>
    <definedName name="ReichwPHEV1">Eingabe_Angebotswerte!$E$21</definedName>
    <definedName name="ReichwPHEV2">Eingabe_Angebotswerte!$F$21</definedName>
    <definedName name="ReichwPHEV3">Eingabe_Angebotswerte!$G$21</definedName>
    <definedName name="ReichwPHEV4">Eingabe_Angebotswerte!$H$21</definedName>
    <definedName name="ReichwPHEV5">Eingabe_Angebotswerte!$I$21</definedName>
    <definedName name="Unternehmen">Input_Beschaffung!$C$9</definedName>
    <definedName name="VerbEl_WLTP1">Eingabe_Angebotswerte!$E$17</definedName>
    <definedName name="VerbEl_WLTP2">Eingabe_Angebotswerte!$F$17</definedName>
    <definedName name="VerbEl_WLTP3">Eingabe_Angebotswerte!$G$17</definedName>
    <definedName name="VerbEl_WLTP4">Eingabe_Angebotswerte!$H$17</definedName>
    <definedName name="VerbEl_WLTP5">Eingabe_Angebotswerte!$I$17</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Eingabe_Angebotswerte!$E$16</definedName>
    <definedName name="Verbrauch2">Eingabe_Angebotswerte!$F$16</definedName>
    <definedName name="Verbrauch3">Eingabe_Angebotswerte!$G$16</definedName>
    <definedName name="Verbrauch4">Eingabe_Angebotswerte!$H$16</definedName>
    <definedName name="Verbrauch5">Eingabe_Angebotswerte!$I$16</definedName>
    <definedName name="Zuladung">Input_Beschaffung!$C$14</definedName>
    <definedName name="Zusatzangabe_x">Eingabe_Angebotswerte!$C$25</definedName>
    <definedName name="Zusatzangabe_x1">Eingabe_Angebotswerte!$E$25</definedName>
    <definedName name="Zusatzangabe_x2">Eingabe_Angebotswerte!$F$25</definedName>
    <definedName name="Zusatzangabe_x3">Eingabe_Angebotswerte!$G$25</definedName>
    <definedName name="Zusatzangabe_x4">Eingabe_Angebotswerte!$H$25</definedName>
    <definedName name="Zusatzangabe_x5">Eingabe_Angebotswerte!$I$25</definedName>
    <definedName name="Zusatzangabe_y">Eingabe_Angebotswerte!$C$26</definedName>
    <definedName name="Zusatzangabe_y1">Eingabe_Angebotswerte!$E$26</definedName>
    <definedName name="Zusatzangabe_y2">Eingabe_Angebotswerte!$F$26</definedName>
    <definedName name="Zusatzangabe_y3">Eingabe_Angebotswerte!$G$26</definedName>
    <definedName name="Zusatzangabe_y4">Eingabe_Angebotswerte!$H$26</definedName>
    <definedName name="Zusatzangabe_y5">Eingabe_Angebotswerte!$I$26</definedName>
    <definedName name="Zusatzangabe_z">Eingabe_Angebotswerte!$C$27</definedName>
    <definedName name="Zusatzangabe_z1">Eingabe_Angebotswerte!$E$27</definedName>
    <definedName name="Zusatzangabe_z2">Eingabe_Angebotswerte!$F$27</definedName>
    <definedName name="Zusatzangabe_z3">Eingabe_Angebotswerte!$G$27</definedName>
    <definedName name="Zusatzangabe_z4">Eingabe_Angebotswerte!$H$27</definedName>
    <definedName name="Zusatzangabe_z5">Eingabe_Angebotswerte!$I$27</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9" l="1"/>
  <c r="C6" i="23" l="1"/>
  <c r="C6" i="5"/>
  <c r="C29" i="7" l="1"/>
  <c r="C28" i="7"/>
  <c r="C29" i="8"/>
  <c r="C28" i="8"/>
  <c r="C29" i="9"/>
  <c r="C28" i="9"/>
  <c r="C29" i="10"/>
  <c r="C28" i="10"/>
  <c r="C29" i="11"/>
  <c r="C28" i="11"/>
  <c r="E28" i="19"/>
  <c r="I22" i="24" l="1"/>
  <c r="I23" i="24"/>
  <c r="I15" i="24"/>
  <c r="I16" i="24"/>
  <c r="I9" i="24"/>
  <c r="I10" i="24"/>
  <c r="I11" i="24"/>
  <c r="I19" i="24" l="1"/>
  <c r="I18" i="24"/>
  <c r="I17" i="24"/>
  <c r="I14"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H24" i="5" l="1"/>
  <c r="I25" i="24"/>
  <c r="I13" i="24"/>
  <c r="I24" i="24"/>
  <c r="I21" i="24"/>
  <c r="I12" i="24"/>
  <c r="I8" i="24"/>
  <c r="I7" i="24"/>
  <c r="D26" i="18" l="1"/>
  <c r="C26" i="18"/>
  <c r="E16" i="18"/>
  <c r="C25" i="18" s="1"/>
  <c r="E15" i="18"/>
  <c r="D24" i="18" s="1"/>
  <c r="D25" i="18" l="1"/>
  <c r="C24" i="18"/>
  <c r="F46" i="24" l="1"/>
  <c r="C14" i="19" l="1"/>
  <c r="F27" i="12" l="1"/>
  <c r="I53" i="24" l="1"/>
  <c r="F28" i="19" l="1"/>
  <c r="G28" i="19"/>
  <c r="H28" i="19"/>
  <c r="J28" i="19" s="1"/>
  <c r="I28"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I49" i="24" l="1"/>
  <c r="C36" i="11" s="1"/>
  <c r="I48" i="24"/>
  <c r="C35" i="11" s="1"/>
  <c r="I46" i="24"/>
  <c r="I40" i="24"/>
  <c r="I39" i="24"/>
  <c r="I38" i="24"/>
  <c r="I36" i="24"/>
  <c r="I35"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H23" i="19" s="1"/>
  <c r="F7" i="9"/>
  <c r="F6" i="9"/>
  <c r="F5" i="9"/>
  <c r="G23" i="19" s="1"/>
  <c r="F7" i="10"/>
  <c r="F6" i="10"/>
  <c r="F5" i="10"/>
  <c r="F23" i="19" s="1"/>
  <c r="C11" i="5"/>
  <c r="C10" i="5"/>
  <c r="C9" i="5"/>
  <c r="F13" i="5"/>
  <c r="F12" i="5"/>
  <c r="J32" i="12"/>
  <c r="I37" i="24" s="1"/>
  <c r="I23" i="19" l="1"/>
  <c r="E23" i="19"/>
  <c r="J23" i="19" s="1"/>
  <c r="D19" i="5"/>
  <c r="C47" i="11"/>
  <c r="C65" i="11" s="1"/>
  <c r="C47" i="9"/>
  <c r="C65" i="8"/>
  <c r="G30" i="5" s="1"/>
  <c r="C48" i="8"/>
  <c r="C59" i="8" s="1"/>
  <c r="G23" i="5" s="1"/>
  <c r="C65" i="7"/>
  <c r="H25" i="23" s="1"/>
  <c r="C48" i="7"/>
  <c r="C59" i="7" s="1"/>
  <c r="H23" i="5" s="1"/>
  <c r="C40" i="10"/>
  <c r="C41" i="10" s="1"/>
  <c r="C58" i="10" s="1"/>
  <c r="C47" i="10"/>
  <c r="C30" i="8"/>
  <c r="C56" i="8" s="1"/>
  <c r="G20" i="5" s="1"/>
  <c r="C30" i="9"/>
  <c r="C56" i="9" s="1"/>
  <c r="F20" i="5" s="1"/>
  <c r="C30" i="11"/>
  <c r="C30" i="10"/>
  <c r="C56" i="10" s="1"/>
  <c r="E20" i="5" s="1"/>
  <c r="C30" i="7"/>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3" i="12"/>
  <c r="H19" i="23"/>
  <c r="E19" i="23"/>
  <c r="G17" i="5"/>
  <c r="H17" i="23"/>
  <c r="H19" i="5"/>
  <c r="E19" i="5"/>
  <c r="C34" i="11"/>
  <c r="C37" i="11" s="1"/>
  <c r="C57" i="11" s="1"/>
  <c r="C34" i="9"/>
  <c r="C37" i="9" s="1"/>
  <c r="C57" i="9" s="1"/>
  <c r="F19" i="23"/>
  <c r="C34" i="10"/>
  <c r="C37" i="10" s="1"/>
  <c r="C57" i="10" s="1"/>
  <c r="C56" i="11" l="1"/>
  <c r="D20" i="5" s="1"/>
  <c r="G25" i="23"/>
  <c r="F21" i="5"/>
  <c r="H21" i="5"/>
  <c r="H30" i="5"/>
  <c r="C66" i="10"/>
  <c r="E26" i="23" s="1"/>
  <c r="C65" i="9"/>
  <c r="C48" i="9"/>
  <c r="C59" i="9" s="1"/>
  <c r="F23" i="5" s="1"/>
  <c r="C48" i="11"/>
  <c r="C59" i="11" s="1"/>
  <c r="D23" i="5" s="1"/>
  <c r="C65" i="10"/>
  <c r="C48" i="10"/>
  <c r="C59" i="10" s="1"/>
  <c r="E23" i="5" s="1"/>
  <c r="C66" i="8"/>
  <c r="G31" i="5" s="1"/>
  <c r="G32" i="5" s="1"/>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9" i="19"/>
  <c r="E29" i="5"/>
  <c r="C58" i="8"/>
  <c r="C63" i="8" s="1"/>
  <c r="G22" i="5"/>
  <c r="G29" i="5" s="1"/>
  <c r="F22" i="5"/>
  <c r="C58" i="9"/>
  <c r="C63" i="9" s="1"/>
  <c r="G20" i="23"/>
  <c r="G24" i="23" s="1"/>
  <c r="D31" i="5"/>
  <c r="D26" i="23"/>
  <c r="H26" i="23"/>
  <c r="H27" i="23" s="1"/>
  <c r="H31" i="5"/>
  <c r="H32" i="5" s="1"/>
  <c r="D20" i="23"/>
  <c r="H20" i="23"/>
  <c r="H22" i="23" s="1"/>
  <c r="C58" i="7"/>
  <c r="C63" i="7" s="1"/>
  <c r="D24" i="23" l="1"/>
  <c r="D29" i="5"/>
  <c r="G27" i="5"/>
  <c r="F29" i="5"/>
  <c r="F27" i="5"/>
  <c r="D27" i="23"/>
  <c r="D32" i="5"/>
  <c r="E32" i="5"/>
  <c r="E24" i="23"/>
  <c r="F22" i="23"/>
  <c r="H24" i="23"/>
  <c r="G22" i="23"/>
  <c r="D22" i="23"/>
  <c r="I24" i="23" l="1"/>
  <c r="D2" i="23" s="1"/>
  <c r="I29" i="5"/>
  <c r="D2" i="5"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9B22C7CC-82CE-436B-9638-83763768CD15}">
      <text>
        <r>
          <rPr>
            <sz val="9"/>
            <color indexed="81"/>
            <rFont val="Segoe UI"/>
            <family val="2"/>
          </rPr>
          <t>Die Angaben sind entsprechend der technischen Leistungsbeschreibung auszufüllen. Sie haben keinen Einfluss auf die Berechnung, sondern wirken sich nur auf die bei der Eingabe maximal zulässigen Treibhausgasemissionen (bei Verbrennern) bzw. Energieverbräuche (bei BEV) laut Mindestanforderungen aus. Bei der Anforderung eines großen Laderaums ist die Anforderung an die Zuladung nicht mehr relevant (siehe Mindestanforderungen im Tabellenblatt "Grunddaten").</t>
        </r>
      </text>
    </comment>
    <comment ref="A24" authorId="0" shapeId="0" xr:uid="{00000000-0006-0000-0100-000002000000}">
      <text>
        <r>
          <rPr>
            <sz val="9"/>
            <color indexed="81"/>
            <rFont val="Segoe UI"/>
            <family val="2"/>
          </rPr>
          <t>Wertminderung auf Basis der Fahrzeug-Restwertberechnung nach Quelle BEUC (2016)</t>
        </r>
      </text>
    </comment>
    <comment ref="A27"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2"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5"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I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7"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J36" authorId="0" shapeId="0" xr:uid="{00000000-0006-0000-0500-000002000000}">
      <text>
        <r>
          <rPr>
            <sz val="9"/>
            <color indexed="81"/>
            <rFont val="Segoe UI"/>
            <family val="2"/>
          </rPr>
          <t>Mittelwert aus Preisen für Normalladen (AC) und Schnellladen (DC)</t>
        </r>
      </text>
    </comment>
    <comment ref="J38" authorId="0" shapeId="0" xr:uid="{00000000-0006-0000-0500-000003000000}">
      <text>
        <r>
          <rPr>
            <sz val="9"/>
            <color indexed="81"/>
            <rFont val="Segoe UI"/>
            <family val="2"/>
          </rPr>
          <t>Mittelwert März-August 2024</t>
        </r>
      </text>
    </comment>
    <comment ref="J39"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<sst xmlns="http://schemas.openxmlformats.org/spreadsheetml/2006/main" count="1137" uniqueCount="610">
  <si>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</si>
  <si>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</si>
  <si>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</si>
  <si>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</si>
  <si>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</si>
  <si>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</si>
  <si>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</si>
  <si>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</si>
  <si>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</si>
  <si>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</si>
  <si>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</si>
  <si>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</si>
  <si>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</si>
  <si>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</si>
  <si>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</si>
  <si>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</si>
  <si>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</si>
  <si>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</si>
  <si>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</si>
  <si>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</si>
  <si>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</si>
  <si>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</si>
  <si>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</si>
  <si>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Zuständige Person</t>
  </si>
  <si>
    <t>Bearbeitungsdatum</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</si>
  <si>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</si>
  <si>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</si>
  <si>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</si>
  <si>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</si>
  <si>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</si>
  <si>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</si>
  <si>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</si>
  <si>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</si>
  <si>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</si>
  <si>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</si>
  <si>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</si>
  <si>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</si>
  <si>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</si>
  <si>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</si>
  <si>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</si>
  <si>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</si>
  <si>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</si>
  <si>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</si>
  <si>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</si>
  <si>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</si>
  <si>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</si>
  <si>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</si>
  <si>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</si>
  <si>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</si>
  <si>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</si>
  <si>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</si>
  <si>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Fahrzeughersteller</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</si>
  <si>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</si>
  <si>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</si>
  <si>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</si>
  <si>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</si>
  <si>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</si>
  <si>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</si>
  <si>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</si>
  <si>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</si>
  <si>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</si>
  <si>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</si>
  <si>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</si>
  <si>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</si>
  <si>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</si>
  <si>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</si>
  <si>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</si>
  <si>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</si>
  <si>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</si>
  <si>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</si>
  <si>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</si>
  <si>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</si>
  <si>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</si>
  <si>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</si>
  <si>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</si>
  <si>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</si>
  <si>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</si>
  <si>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</si>
  <si>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</si>
  <si>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</si>
  <si>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</si>
  <si>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</si>
  <si>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</si>
  <si>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</si>
  <si>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</si>
  <si>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</si>
  <si>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</si>
  <si>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</si>
  <si>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</si>
  <si>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</si>
  <si>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</si>
  <si>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</si>
  <si>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</si>
  <si>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</si>
  <si>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</si>
  <si>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</si>
  <si>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</si>
  <si>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</si>
  <si>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</si>
  <si>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</si>
  <si>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</si>
  <si>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</si>
  <si>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</si>
  <si>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</si>
  <si>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</si>
  <si>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</si>
  <si>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</si>
  <si>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</si>
  <si>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</si>
  <si>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</si>
  <si>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</si>
  <si>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</si>
  <si>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</si>
  <si>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</si>
  <si>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</si>
  <si>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</si>
  <si>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</si>
  <si>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</si>
  <si>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</si>
  <si>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</si>
  <si>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</si>
  <si>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</si>
  <si>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</si>
  <si>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</si>
  <si>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</si>
  <si>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</si>
  <si>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</si>
  <si>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</si>
  <si>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</si>
  <si>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</si>
  <si>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</si>
  <si>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</si>
  <si>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</si>
  <si>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</si>
  <si>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</si>
  <si>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</si>
  <si>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</si>
  <si>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</si>
  <si>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</si>
  <si>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</si>
  <si>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</si>
  <si>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</si>
  <si>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</si>
  <si>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</si>
  <si>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</si>
  <si>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</si>
  <si>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</si>
  <si>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</si>
  <si>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</si>
  <si>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</si>
  <si>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</si>
  <si>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</si>
  <si>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</si>
  <si>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</si>
  <si>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</si>
  <si>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</si>
  <si>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</si>
  <si>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</si>
  <si>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</si>
  <si>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</si>
  <si>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</si>
  <si>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</si>
  <si>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</si>
  <si>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</si>
  <si>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</si>
  <si>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</si>
  <si>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</si>
  <si>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</si>
  <si>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</si>
  <si>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</si>
  <si>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</si>
  <si>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</si>
  <si>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</si>
  <si>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</si>
  <si>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</si>
  <si>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</si>
  <si>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</si>
  <si>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</si>
  <si>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</si>
  <si>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</si>
  <si>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</si>
  <si>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</si>
  <si>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</si>
  <si>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</si>
  <si>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</si>
  <si>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</si>
  <si>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</si>
  <si>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</si>
  <si>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</si>
  <si>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</si>
  <si>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</si>
  <si>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</si>
  <si>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</si>
  <si>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</si>
  <si>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</si>
  <si>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</si>
  <si>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</si>
  <si>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</si>
  <si>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</si>
  <si>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</si>
  <si>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</si>
  <si>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</si>
  <si>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</si>
  <si>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</si>
  <si>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</si>
  <si>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</si>
  <si>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</si>
  <si>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</si>
  <si>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</si>
  <si>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</si>
  <si>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</si>
  <si>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</si>
  <si>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</si>
  <si>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</si>
  <si>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</si>
  <si>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</si>
  <si>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</si>
  <si>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</si>
  <si>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</si>
  <si>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</si>
  <si>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</si>
  <si>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</si>
  <si>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</si>
  <si>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</si>
  <si>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</si>
  <si>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</si>
  <si>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</si>
  <si>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</si>
  <si>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</si>
  <si>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</si>
  <si>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</si>
  <si>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</si>
  <si>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</si>
  <si>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</si>
  <si>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</si>
  <si>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</si>
  <si>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</si>
  <si>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</si>
  <si>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</si>
  <si>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</si>
  <si>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</si>
  <si>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</si>
  <si>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</si>
  <si>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</si>
  <si>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</si>
  <si>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</si>
  <si>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</si>
  <si>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</si>
  <si>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</si>
  <si>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</si>
  <si>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</si>
  <si>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</si>
  <si>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</si>
  <si>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</si>
  <si>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</si>
  <si>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</si>
  <si>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</si>
  <si>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</si>
  <si>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</si>
  <si>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</si>
  <si>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</si>
  <si>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</si>
  <si>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</si>
  <si>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</si>
  <si>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</si>
  <si>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</si>
  <si>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</si>
  <si>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</si>
  <si>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</si>
  <si>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</si>
  <si>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</si>
  <si>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</si>
  <si>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</si>
  <si>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</si>
  <si>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</si>
  <si>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</si>
  <si>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</si>
  <si>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</si>
  <si>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</si>
  <si>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</si>
  <si>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</si>
  <si>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</si>
  <si>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</si>
  <si>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</si>
  <si>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</si>
  <si>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</si>
  <si>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</si>
  <si>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</si>
  <si>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</si>
  <si>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</si>
  <si>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</si>
  <si>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</si>
  <si>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</si>
  <si>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</si>
  <si>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</si>
  <si>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</si>
  <si>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</si>
  <si>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</si>
  <si>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</si>
  <si>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</si>
  <si>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</si>
  <si>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</si>
  <si>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</si>
  <si>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</si>
  <si>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</si>
  <si>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</si>
  <si>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</si>
  <si>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</si>
  <si>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</si>
  <si>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</si>
  <si>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</si>
  <si>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</si>
  <si>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</si>
  <si>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</si>
  <si>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</si>
  <si>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</si>
  <si>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</si>
  <si>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</si>
  <si>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</si>
  <si>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</si>
  <si>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</si>
  <si>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</si>
  <si>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</si>
  <si>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</si>
  <si>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</si>
  <si>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</si>
  <si>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</si>
  <si>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</si>
  <si>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</si>
  <si>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</si>
  <si>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</si>
  <si>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</si>
  <si>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</si>
  <si>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</si>
  <si>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</si>
  <si>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</si>
  <si>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</si>
  <si>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</si>
  <si>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</si>
  <si>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</si>
  <si>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</si>
  <si>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</si>
  <si>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</si>
  <si>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</si>
  <si>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</si>
  <si>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</si>
  <si>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</si>
  <si>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</si>
  <si>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</si>
  <si>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</si>
  <si>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</si>
  <si>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Kost_Partikel</t>
  </si>
  <si>
    <t>Kost_THG</t>
  </si>
  <si>
    <t>maxCO2PHEV</t>
  </si>
  <si>
    <t>maxPM</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</si>
  <si>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</si>
  <si>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</si>
  <si>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</si>
  <si>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</si>
  <si>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</si>
  <si>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</si>
  <si>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</si>
  <si>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</si>
  <si>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</si>
  <si>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</si>
  <si>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</si>
  <si>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</si>
  <si>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</si>
  <si>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</si>
  <si>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</si>
  <si>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</si>
  <si>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</si>
  <si>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</si>
  <si>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</si>
  <si>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</si>
  <si>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</si>
  <si>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</si>
  <si>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</si>
  <si>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</si>
  <si>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</si>
  <si>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</si>
  <si>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</si>
  <si>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</si>
  <si>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</si>
  <si>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</si>
  <si>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</si>
  <si>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</si>
  <si>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</si>
  <si>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</si>
  <si>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</si>
  <si>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</si>
  <si>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</si>
  <si>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</si>
  <si>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</si>
  <si>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</si>
  <si>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</si>
  <si>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</si>
  <si>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</si>
  <si>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</si>
  <si>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</si>
  <si>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</si>
  <si>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</si>
  <si>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</si>
  <si>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</si>
  <si>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</si>
  <si>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</si>
  <si>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</si>
  <si>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</si>
  <si>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</si>
  <si>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</si>
  <si>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</si>
  <si>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</si>
  <si>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</si>
  <si>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</si>
  <si>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</si>
  <si>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</si>
  <si>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</si>
  <si>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</si>
  <si>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</si>
  <si>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</si>
  <si>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</si>
  <si>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</si>
  <si>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</si>
  <si>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</si>
  <si>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</si>
  <si>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</si>
  <si>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</si>
  <si>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</si>
  <si>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</si>
  <si>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</si>
  <si>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</si>
  <si>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</si>
  <si>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</si>
  <si>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</si>
  <si>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</si>
  <si>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</si>
  <si>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</si>
  <si>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</si>
  <si>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</si>
  <si>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</si>
  <si>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</si>
  <si>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</si>
  <si>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</si>
  <si>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</si>
  <si>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</si>
  <si>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</si>
  <si>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</si>
  <si>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</si>
  <si>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</si>
  <si>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</si>
  <si>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=Emissionsfaktoren!$B$23:$D$26</t>
  </si>
  <si>
    <t>=Input_Beschaffung!$C$11</t>
  </si>
  <si>
    <t>=Erg.Fzg._1!$F$5:$F$8</t>
  </si>
  <si>
    <t>=Erg.Fzg._2!$F$5:$F$8</t>
  </si>
  <si>
    <t>=Erg.Fzg._3!$F$5:$F$8</t>
  </si>
  <si>
    <t>=Erg.Fzg._4!$F$5:$F$8</t>
  </si>
  <si>
    <t>=Erg.Fzg._5!$F$5:$F$8</t>
  </si>
  <si>
    <t>=Emissionsfaktoren!$B$15:$E$17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</si>
  <si>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</si>
  <si>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</si>
  <si>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</si>
  <si>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</si>
  <si>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</si>
  <si>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</si>
  <si>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</si>
  <si>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</si>
  <si>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</si>
  <si>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</si>
  <si>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</si>
  <si>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</si>
  <si>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</si>
  <si>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</si>
  <si>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Zusatzangabe_x1</t>
  </si>
  <si>
    <t>Zusatzangabe_x2</t>
  </si>
  <si>
    <t>Zusatzangabe_x3</t>
  </si>
  <si>
    <t>Zusatzangabe_x4</t>
  </si>
  <si>
    <t>Zusatzangabe_x5</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</si>
  <si>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</si>
  <si>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</si>
  <si>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</si>
  <si>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</si>
  <si>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</si>
  <si>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</si>
  <si>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</si>
  <si>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</si>
  <si>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</si>
  <si>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</si>
  <si>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</si>
  <si>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</si>
  <si>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</si>
  <si>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</si>
  <si>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</si>
  <si>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</si>
  <si>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</si>
  <si>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</si>
  <si>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</si>
  <si>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</si>
  <si>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</si>
  <si>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</si>
  <si>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</si>
  <si>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</si>
  <si>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</si>
  <si>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</si>
  <si>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</si>
  <si>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</si>
  <si>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max_Verbrauch_PHEV_l</t>
  </si>
  <si>
    <t>max_Verbrauch_Verbrenner</t>
  </si>
  <si>
    <t>Auf den jeweiligen Tabellenblättern Erg.Fzg._1-5 Felder F5-F8,</t>
  </si>
  <si>
    <t>Laderaummaße</t>
  </si>
  <si>
    <t>Min. Zuladung</t>
  </si>
  <si>
    <t>Höhe ≥ 1,4 m oder Länge ≥ 3,0 m</t>
  </si>
  <si>
    <t>alle</t>
  </si>
  <si>
    <t>Geringere oder keine Anforderung</t>
  </si>
  <si>
    <t>N1-I</t>
  </si>
  <si>
    <t>N1-II</t>
  </si>
  <si>
    <t>N1-III</t>
  </si>
  <si>
    <t>Fahrzeugklasse</t>
  </si>
  <si>
    <t>N1-I bis N1-III</t>
  </si>
  <si>
    <r>
      <t xml:space="preserve">Mit dem vorliegenden Excel-Tool können die Lebenszykluskosten (LZK) von leichten Nutzfahrzeugen (LNF)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</si>
  <si>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700 - &lt;1000 kg</t>
  </si>
  <si>
    <t>1000 - &lt;1300 kg</t>
  </si>
  <si>
    <t>≥ 1300 kg</t>
  </si>
  <si>
    <t>≥ 1000 kg</t>
  </si>
  <si>
    <t>Fahrzeugklassen</t>
  </si>
  <si>
    <t>N1-I (zGG 
&lt; 1.305 kg)</t>
  </si>
  <si>
    <t>N1-II (zGG 
1.305 - 1.760 kg)</t>
  </si>
  <si>
    <t>N1-III (zGG 
&gt; 1.760 kg)</t>
  </si>
  <si>
    <t>=Listen!$B$12:$B$14</t>
  </si>
  <si>
    <t>=Grunddaten!$I$53</t>
  </si>
  <si>
    <t>=Eingabe_Angebotswerte!$E$22</t>
  </si>
  <si>
    <t>=Eingabe_Angebotswerte!$F$22</t>
  </si>
  <si>
    <t>=Eingabe_Angebotswerte!$G$22</t>
  </si>
  <si>
    <t>=Eingabe_Angebotswerte!$H$22</t>
  </si>
  <si>
    <t>=Eingabe_Angebotswerte!$I$22</t>
  </si>
  <si>
    <t>=Listen!$B$24:$D$27</t>
  </si>
  <si>
    <t>=Grunddaten!$B$35:$I$40</t>
  </si>
  <si>
    <t>=Listen!$B$8:$B$9</t>
  </si>
  <si>
    <t>=Grunddaten!$I$48</t>
  </si>
  <si>
    <t>=Grunddaten!$I$49</t>
  </si>
  <si>
    <t>=Grunddaten!$I$46</t>
  </si>
  <si>
    <t>=Grunddaten!$I$19</t>
  </si>
  <si>
    <t>=Grunddaten!$I$18</t>
  </si>
  <si>
    <t>=Grunddaten!$I$17</t>
  </si>
  <si>
    <t>=Grunddaten!$I$7</t>
  </si>
  <si>
    <t>=Grunddaten!$I$12</t>
  </si>
  <si>
    <t>=Grunddaten!$I$8</t>
  </si>
  <si>
    <t>=Grunddaten!$I$13</t>
  </si>
  <si>
    <t>=Grunddaten!$I$14</t>
  </si>
  <si>
    <t>=Grunddaten!$I$21</t>
  </si>
  <si>
    <t>=Grunddaten!$I$24</t>
  </si>
  <si>
    <t>=Grunddaten!$I$25</t>
  </si>
  <si>
    <t>=Eingabe_Angebotswerte!$C$27</t>
  </si>
  <si>
    <t>=Eingabe_Angebotswerte!$E$27</t>
  </si>
  <si>
    <t>=Eingabe_Angebotswerte!$F$27</t>
  </si>
  <si>
    <t>=Eingabe_Angebotswerte!$G$27</t>
  </si>
  <si>
    <t>=Eingabe_Angebotswerte!$H$27</t>
  </si>
  <si>
    <t>=Eingabe_Angebotswerte!$I$27</t>
  </si>
  <si>
    <t>Geforderte Laderaummaße</t>
  </si>
  <si>
    <t>Fahrzeugklasse - abhängig von zulässigem Gesamtgewicht (zGG)</t>
  </si>
  <si>
    <t>Geforderte Zuladung</t>
  </si>
  <si>
    <t>&lt;700 kg</t>
  </si>
  <si>
    <t>keine Anforderung</t>
  </si>
  <si>
    <t>Version 1.0 - 23.10.2024</t>
  </si>
  <si>
    <t>Die ausführliche Dokumentation finden Sie als PDF unter</t>
  </si>
  <si>
    <t>https://www.nachhaltige-oeffentliche-pkw-beschaffung.de/assets/downloads/LZK-Rechner_Fahrzeuge_Dokumentation.pdf</t>
  </si>
  <si>
    <t>=Input_Beschaffung!$C$20</t>
  </si>
  <si>
    <t>=Input_Beschaffung!$C$16</t>
  </si>
  <si>
    <t>Fahrzeugklasse1</t>
  </si>
  <si>
    <t>Fahrzeugklasse2</t>
  </si>
  <si>
    <t>Fahrzeugklasse3</t>
  </si>
  <si>
    <t>Fahrzeugklasse4</t>
  </si>
  <si>
    <t>Fahrzeugklasse5</t>
  </si>
  <si>
    <t>=Input_Beschaffung!$C$18</t>
  </si>
  <si>
    <t>=Input_Beschaffung!$C$22</t>
  </si>
  <si>
    <t>=Input_Beschaffung!$C$24</t>
  </si>
  <si>
    <t>=Listen!$B$46:$B$47</t>
  </si>
  <si>
    <t>=Input_Beschaffung!$C$27</t>
  </si>
  <si>
    <t>Laderaum</t>
  </si>
  <si>
    <t>maxCO2_1000kg</t>
  </si>
  <si>
    <t>=Grunddaten!$I$9</t>
  </si>
  <si>
    <t>maxCO2_1300kg</t>
  </si>
  <si>
    <t>=Grunddaten!$I$10</t>
  </si>
  <si>
    <t>maxCO2_700kg</t>
  </si>
  <si>
    <t>maxCO2_größer1300kg</t>
  </si>
  <si>
    <t>=Grunddaten!$I$11</t>
  </si>
  <si>
    <t>maxCO2_Laderaum</t>
  </si>
  <si>
    <t>maxkWh_1000kg</t>
  </si>
  <si>
    <t>=Grunddaten!$I$15</t>
  </si>
  <si>
    <t>maxkWh_700kg</t>
  </si>
  <si>
    <t>maxkWh_größer1000kg</t>
  </si>
  <si>
    <t>=Grunddaten!$I$16</t>
  </si>
  <si>
    <t>maxkWh_Laderaum</t>
  </si>
  <si>
    <t>maxNOX_N1I</t>
  </si>
  <si>
    <t>maxNOX_N1II</t>
  </si>
  <si>
    <t>=Grunddaten!$I$22</t>
  </si>
  <si>
    <t>maxNOX_N1III</t>
  </si>
  <si>
    <t>=Grunddaten!$I$23</t>
  </si>
  <si>
    <t>N1I</t>
  </si>
  <si>
    <t>=Listen!$B$41</t>
  </si>
  <si>
    <t>N1II</t>
  </si>
  <si>
    <t>=Listen!$B$42</t>
  </si>
  <si>
    <t>N1III</t>
  </si>
  <si>
    <t>=Listen!$B$43</t>
  </si>
  <si>
    <t>Projektname</t>
  </si>
  <si>
    <t>Zuladung</t>
  </si>
  <si>
    <t>=Input_Beschaffung!$C$14</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</si>
  <si>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</si>
  <si>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</si>
  <si>
    <t>Lebenszykluskosten-Rechner für leichte Nutzfahrzeuge (LNF)</t>
  </si>
  <si>
    <t>https://www.umweltbundesamt.de/publikationen/entwicklung-der-spezifischen-treibhausgas-10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</si>
</sst>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8">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right style="thin">
        <color theme="0"/>
      </right>
      <top style="thin">
        <color theme="3"/>
      </top>
      <bottom style="thin">
        <color theme="3"/>
      </bottom>
      <diagonal/>
    </border>
    <border>
      <left/>
      <right style="thin">
        <color theme="0"/>
      </right>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0"/>
      </right>
      <top/>
      <bottom style="thin">
        <color theme="3"/>
      </bottom>
      <diagonal/>
    </border>
    <border>
      <left style="thin">
        <color theme="0"/>
      </left>
      <right/>
      <top style="thin">
        <color theme="3"/>
      </top>
      <bottom style="thin">
        <color theme="3"/>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7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6" fillId="18" borderId="0" xfId="0" applyFont="1" applyFill="1" applyAlignment="1">
      <alignment horizontal="center" vertical="top"/>
    </xf>
    <xf numFmtId="0" fontId="2" fillId="0" borderId="54" xfId="0" applyFont="1" applyBorder="1" applyAlignment="1">
      <alignment horizontal="left" vertical="center" wrapText="1"/>
    </xf>
    <xf numFmtId="0" fontId="2" fillId="0" borderId="4" xfId="0" applyFont="1" applyBorder="1" applyAlignment="1">
      <alignment horizontal="left" vertical="center" wrapText="1"/>
    </xf>
    <xf numFmtId="0" fontId="2" fillId="0" borderId="54" xfId="0" applyFont="1" applyBorder="1" applyAlignment="1">
      <alignment horizontal="left" vertical="center"/>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xf numFmtId="0" fontId="2" fillId="0" borderId="64" xfId="0" applyFont="1" applyBorder="1"/>
    <xf numFmtId="0" fontId="7" fillId="0" borderId="25" xfId="0" applyFont="1" applyBorder="1"/>
    <xf numFmtId="0" fontId="2" fillId="0" borderId="65" xfId="0" applyFont="1" applyBorder="1"/>
    <xf numFmtId="0" fontId="2" fillId="0" borderId="66" xfId="0" applyFont="1" applyBorder="1"/>
    <xf numFmtId="0" fontId="7" fillId="0" borderId="31" xfId="0" applyFont="1" applyBorder="1"/>
    <xf numFmtId="0" fontId="2" fillId="0" borderId="1" xfId="0" applyFont="1" applyBorder="1" applyAlignment="1">
      <alignment horizontal="left" vertical="center" wrapText="1"/>
    </xf>
    <xf numFmtId="0" fontId="2" fillId="0" borderId="33" xfId="0" applyFont="1" applyBorder="1" applyAlignment="1">
      <alignment vertical="center"/>
    </xf>
    <xf numFmtId="0" fontId="2" fillId="0" borderId="67" xfId="0" applyFont="1" applyBorder="1" applyAlignment="1">
      <alignment vertical="center"/>
    </xf>
    <xf numFmtId="0" fontId="2" fillId="0" borderId="19" xfId="0" applyFont="1" applyBorder="1" applyAlignment="1">
      <alignment horizontal="center" vertical="center"/>
    </xf>
    <xf numFmtId="0" fontId="2" fillId="0" borderId="67" xfId="0" applyFont="1" applyBorder="1" applyAlignment="1">
      <alignment horizontal="center" vertical="center"/>
    </xf>
    <xf numFmtId="0" fontId="2" fillId="0" borderId="0" xfId="0" applyNumberFormat="1" applyFont="1"/>
    <xf numFmtId="0" fontId="3" fillId="0" borderId="16" xfId="0" applyFont="1" applyBorder="1"/>
    <xf numFmtId="0" fontId="2" fillId="0" borderId="0" xfId="0" applyFont="1" applyAlignment="1">
      <alignment wrapText="1"/>
    </xf>
    <xf numFmtId="0" fontId="2" fillId="0" borderId="7" xfId="0" applyFont="1" applyFill="1" applyBorder="1" applyAlignment="1">
      <alignment horizontal="center" vertical="center"/>
    </xf>
    <xf numFmtId="0" fontId="2" fillId="0" borderId="38"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0" fontId="2" fillId="5" borderId="24"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wrapText="1"/>
      <protection locked="0"/>
    </xf>
    <xf numFmtId="0" fontId="2" fillId="5" borderId="25" xfId="0" applyFont="1" applyFill="1" applyBorder="1" applyAlignment="1" applyProtection="1">
      <alignment horizontal="left" vertical="top" wrapText="1"/>
      <protection locked="0"/>
    </xf>
    <xf numFmtId="0" fontId="2" fillId="5" borderId="2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5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4"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9" fillId="18" borderId="0" xfId="0" applyFont="1" applyFill="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Fahrzeugkosten (Leasingrate/Miete)</c:v>
                </c:pt>
              </c:strCache>
            </c:strRef>
          </c:tx>
          <c:spPr>
            <a:solidFill>
              <a:srgbClr val="5B7ECB"/>
            </a:solidFill>
            <a:ln>
              <a:noFill/>
            </a:ln>
            <a:effectLst/>
          </c:spPr>
          <c:invertIfNegative val="0"/>
          <c:cat>
            <c:strRef>
              <c:f>Ergebnisse_LZK!$D$17:$H$17</c:f>
              <c:strCache>
                <c:ptCount val="5"/>
                <c:pt idx="0">
                  <c:v>   </c:v>
                </c:pt>
                <c:pt idx="1">
                  <c:v>   </c:v>
                </c:pt>
                <c:pt idx="2">
                  <c:v>   </c:v>
                </c:pt>
                <c:pt idx="3">
                  <c:v>   </c:v>
                </c:pt>
                <c:pt idx="4">
                  <c:v>   </c:v>
                </c:pt>
              </c:strCache>
            </c:strRef>
          </c:cat>
          <c:val>
            <c:numRef>
              <c:f>Ergebnisse_LZK!$D$19:$H$19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   </c:v>
                </c:pt>
                <c:pt idx="1">
                  <c:v>   </c:v>
                </c:pt>
                <c:pt idx="2">
                  <c:v>   </c:v>
                </c:pt>
                <c:pt idx="3">
                  <c:v>   </c:v>
                </c:pt>
                <c:pt idx="4">
                  <c:v>   </c:v>
                </c:pt>
              </c:strCache>
            </c:strRef>
          </c:cat>
          <c:val>
            <c:numRef>
              <c:f>Ergebnisse_LZK!$D$20:$H$20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   </c:v>
                </c:pt>
                <c:pt idx="1">
                  <c:v>   </c:v>
                </c:pt>
                <c:pt idx="2">
                  <c:v>   </c:v>
                </c:pt>
                <c:pt idx="3">
                  <c:v>   </c:v>
                </c:pt>
                <c:pt idx="4">
                  <c:v>   </c:v>
                </c:pt>
              </c:strCache>
            </c:strRef>
          </c:cat>
          <c:val>
            <c:numRef>
              <c:f>Ergebnisse_LZK!$D$23:$H$23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   </c:v>
                </c:pt>
                <c:pt idx="1">
                  <c:v>   </c:v>
                </c:pt>
                <c:pt idx="2">
                  <c:v>   </c:v>
                </c:pt>
                <c:pt idx="3">
                  <c:v>   </c:v>
                </c:pt>
                <c:pt idx="4">
                  <c:v>   </c:v>
                </c:pt>
              </c:strCache>
            </c:strRef>
          </c:cat>
          <c:val>
            <c:numRef>
              <c:f>Ergebnisse_LZK!$D$21:$H$21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   </c:v>
                </c:pt>
                <c:pt idx="1">
                  <c:v>   </c:v>
                </c:pt>
                <c:pt idx="2">
                  <c:v>   </c:v>
                </c:pt>
                <c:pt idx="3">
                  <c:v>   </c:v>
                </c:pt>
                <c:pt idx="4">
                  <c:v>   </c:v>
                </c:pt>
              </c:strCache>
            </c:strRef>
          </c:cat>
          <c:val>
            <c:numRef>
              <c:f>Ergebnisse_LZK!$D$22:$H$22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strCache>
            </c:strRef>
          </c:tx>
          <c:spPr>
            <a:solidFill>
              <a:schemeClr val="accent3"/>
            </a:solidFill>
            <a:ln>
              <a:noFill/>
            </a:ln>
            <a:effectLst/>
          </c:spPr>
          <c:invertIfNegative val="0"/>
          <c:val>
            <c:numRef>
              <c:f>Ergebnisse_LZK!$D$24:$H$24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(Ergebnisse_Umweltkosten!$D$18,Ergebnisse_Umweltkosten!$E$18,Ergebnisse_Umweltkosten!$F$18,Ergebnisse_Umweltkosten!$G$18,Ergebnisse_Umweltkosten!$H$18)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(Ergebnisse_Umweltkosten!$D$20,Ergebnisse_Umweltkosten!$E$20,Ergebnisse_Umweltkosten!$F$20,Ergebnisse_Umweltkosten!$G$20,Ergebnisse_Umweltkosten!$H$20)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77894</xdr:colOff>
      <xdr:row>11</xdr:row>
      <xdr:rowOff>329565</xdr:rowOff>
    </xdr:from>
    <xdr:to>
      <xdr:col>13</xdr:col>
      <xdr:colOff>124913</xdr:colOff>
      <xdr:row>12</xdr:row>
      <xdr:rowOff>593725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10479194" y="2392680"/>
          <a:ext cx="1630074" cy="96901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779145</xdr:colOff>
      <xdr:row>35</xdr:row>
      <xdr:rowOff>57150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779145</xdr:colOff>
      <xdr:row>30</xdr:row>
      <xdr:rowOff>57150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22860</xdr:colOff>
      <xdr:row>1</xdr:row>
      <xdr:rowOff>0</xdr:rowOff>
    </xdr:from>
    <xdr:to>
      <xdr:col>11</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131428</xdr:colOff>
      <xdr:row>37</xdr:row>
      <xdr:rowOff>91440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publikationen/entwicklung-der-spezifischen-treibhausgas-10"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608</v>
      </c>
      <c r="C2" s="16"/>
      <c r="D2" s="16"/>
      <c r="E2" s="143"/>
      <c r="F2" s="144"/>
      <c r="G2" s="16"/>
      <c r="H2" s="16"/>
      <c r="I2" s="16"/>
      <c r="J2" s="268" t="s">
        <v>562</v>
      </c>
    </row>
    <row r="3" spans="2:10" x14ac:dyDescent="0.25">
      <c r="D3" s="115"/>
      <c r="E3" s="115"/>
      <c r="F3" s="115"/>
      <c r="G3" s="115"/>
      <c r="H3" s="115"/>
      <c r="I3" s="115"/>
      <c r="J3" s="115"/>
    </row>
    <row r="4" spans="2:10" ht="76.2" customHeight="1" x14ac:dyDescent="0.25">
      <c r="D4" s="115"/>
      <c r="E4" s="115"/>
      <c r="F4" s="115"/>
      <c r="G4" s="115"/>
      <c r="H4" s="115"/>
      <c r="I4" s="115"/>
      <c r="J4" s="115"/>
    </row>
    <row r="5" spans="2:10" ht="163.19999999999999" customHeight="1" x14ac:dyDescent="0.25">
      <c r="B5" s="393" t="s">
        <v>518</v>
      </c>
      <c r="C5" s="393"/>
      <c r="D5" s="393"/>
      <c r="E5" s="393"/>
      <c r="F5" s="393"/>
      <c r="G5" s="393"/>
      <c r="H5" s="393"/>
      <c r="I5" s="393"/>
      <c r="J5" s="393"/>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94" t="s">
        <v>402</v>
      </c>
      <c r="G9" s="394"/>
      <c r="H9" s="394"/>
      <c r="I9" s="394"/>
      <c r="J9" s="394"/>
    </row>
    <row r="10" spans="2:10" ht="4.2" customHeight="1" x14ac:dyDescent="0.25">
      <c r="D10" s="245"/>
      <c r="E10" s="245"/>
      <c r="F10" s="174"/>
      <c r="G10" s="174"/>
      <c r="H10" s="174"/>
      <c r="I10" s="174"/>
      <c r="J10" s="174"/>
    </row>
    <row r="11" spans="2:10" ht="13.95" customHeight="1" x14ac:dyDescent="0.25">
      <c r="D11" s="245"/>
      <c r="E11" s="245"/>
      <c r="F11" s="395" t="s">
        <v>416</v>
      </c>
      <c r="G11" s="396"/>
      <c r="H11" s="396"/>
      <c r="I11" s="396"/>
      <c r="J11" s="396"/>
    </row>
    <row r="12" spans="2:10" ht="13.95" customHeight="1" x14ac:dyDescent="0.25">
      <c r="D12" s="245"/>
      <c r="E12" s="245"/>
      <c r="F12" s="396"/>
      <c r="G12" s="396"/>
      <c r="H12" s="396"/>
      <c r="I12" s="396"/>
      <c r="J12" s="396"/>
    </row>
    <row r="13" spans="2:10" ht="18.600000000000001" customHeight="1" x14ac:dyDescent="0.25">
      <c r="D13" s="245"/>
      <c r="E13" s="245"/>
      <c r="F13" s="396"/>
      <c r="G13" s="396"/>
      <c r="H13" s="396"/>
      <c r="I13" s="396"/>
      <c r="J13" s="396"/>
    </row>
    <row r="14" spans="2:10" ht="4.2" customHeight="1" x14ac:dyDescent="0.25">
      <c r="D14" s="245"/>
      <c r="E14" s="245"/>
      <c r="F14" s="174"/>
      <c r="G14" s="174"/>
      <c r="H14" s="174"/>
      <c r="I14" s="174"/>
      <c r="J14" s="174"/>
    </row>
    <row r="15" spans="2:10" ht="14.4" customHeight="1" x14ac:dyDescent="0.25">
      <c r="D15" s="245"/>
      <c r="E15" s="245"/>
      <c r="F15" s="397" t="s">
        <v>1</v>
      </c>
      <c r="G15" s="398"/>
      <c r="H15" s="398"/>
      <c r="I15" s="398"/>
      <c r="J15" s="398"/>
    </row>
    <row r="16" spans="2:10" ht="73.95" customHeight="1" x14ac:dyDescent="0.25">
      <c r="D16" s="245"/>
      <c r="E16" s="245"/>
      <c r="F16" s="398"/>
      <c r="G16" s="398"/>
      <c r="H16" s="398"/>
      <c r="I16" s="398"/>
      <c r="J16" s="398"/>
    </row>
    <row r="17" spans="2:10" ht="4.2" customHeight="1" x14ac:dyDescent="0.25">
      <c r="D17" s="245"/>
      <c r="E17" s="245"/>
      <c r="F17" s="244"/>
      <c r="G17" s="244"/>
      <c r="H17" s="244"/>
      <c r="I17" s="244"/>
      <c r="J17" s="244"/>
    </row>
    <row r="18" spans="2:10" ht="40.950000000000003" customHeight="1" x14ac:dyDescent="0.25">
      <c r="D18" s="245"/>
      <c r="E18" s="245"/>
      <c r="F18" s="399" t="s">
        <v>2</v>
      </c>
      <c r="G18" s="400"/>
      <c r="H18" s="400"/>
      <c r="I18" s="400"/>
      <c r="J18" s="400"/>
    </row>
    <row r="19" spans="2:10" ht="4.2" customHeight="1" x14ac:dyDescent="0.25">
      <c r="D19" s="245"/>
      <c r="E19" s="245"/>
      <c r="F19" s="244"/>
      <c r="G19" s="244"/>
      <c r="H19" s="244"/>
      <c r="I19" s="244"/>
      <c r="J19" s="244"/>
    </row>
    <row r="20" spans="2:10" ht="13.95" customHeight="1" x14ac:dyDescent="0.25">
      <c r="D20" s="245"/>
      <c r="E20" s="245"/>
      <c r="F20" s="401" t="s">
        <v>3</v>
      </c>
      <c r="G20" s="401"/>
      <c r="H20" s="401"/>
      <c r="I20" s="401"/>
      <c r="J20" s="401"/>
    </row>
    <row r="21" spans="2:10" ht="13.95" customHeight="1" x14ac:dyDescent="0.25">
      <c r="D21" s="245"/>
      <c r="E21" s="245"/>
      <c r="F21" s="401"/>
      <c r="G21" s="401"/>
      <c r="H21" s="401"/>
      <c r="I21" s="401"/>
      <c r="J21" s="401"/>
    </row>
    <row r="22" spans="2:10" ht="22.95" customHeight="1" x14ac:dyDescent="0.25">
      <c r="D22" s="245"/>
      <c r="E22" s="245"/>
      <c r="F22" s="401"/>
      <c r="G22" s="401"/>
      <c r="H22" s="401"/>
      <c r="I22" s="401"/>
      <c r="J22" s="401"/>
    </row>
    <row r="23" spans="2:10" ht="4.2" customHeight="1" x14ac:dyDescent="0.25">
      <c r="D23" s="245"/>
      <c r="E23" s="245"/>
      <c r="F23" s="244"/>
      <c r="G23" s="244"/>
      <c r="H23" s="244"/>
      <c r="I23" s="244"/>
      <c r="J23" s="244"/>
    </row>
    <row r="24" spans="2:10" x14ac:dyDescent="0.25">
      <c r="D24" s="245"/>
      <c r="E24" s="245"/>
      <c r="F24" s="402" t="s">
        <v>4</v>
      </c>
      <c r="G24" s="402"/>
      <c r="H24" s="402"/>
      <c r="I24" s="402"/>
      <c r="J24" s="402"/>
    </row>
    <row r="25" spans="2:10" x14ac:dyDescent="0.25">
      <c r="D25" s="245"/>
      <c r="E25" s="245"/>
      <c r="F25" s="402"/>
      <c r="G25" s="402"/>
      <c r="H25" s="402"/>
      <c r="I25" s="402"/>
      <c r="J25" s="402"/>
    </row>
    <row r="26" spans="2:10" ht="4.2" customHeight="1" x14ac:dyDescent="0.25">
      <c r="D26" s="245"/>
      <c r="E26" s="245"/>
      <c r="F26" s="244"/>
      <c r="G26" s="244"/>
      <c r="H26" s="244"/>
      <c r="I26" s="244"/>
      <c r="J26" s="244"/>
    </row>
    <row r="27" spans="2:10" ht="7.2" customHeight="1" x14ac:dyDescent="0.25">
      <c r="D27" s="245"/>
      <c r="E27" s="245"/>
      <c r="F27" s="392"/>
      <c r="G27" s="392"/>
      <c r="H27" s="392"/>
      <c r="I27" s="392"/>
      <c r="J27" s="392"/>
    </row>
    <row r="28" spans="2:10" ht="13.95" customHeight="1" x14ac:dyDescent="0.25">
      <c r="D28" s="245"/>
      <c r="E28" s="245"/>
      <c r="F28" s="403" t="s">
        <v>417</v>
      </c>
      <c r="G28" s="403"/>
      <c r="H28" s="403"/>
      <c r="I28" s="403"/>
      <c r="J28" s="403"/>
    </row>
    <row r="29" spans="2:10" ht="13.95" customHeight="1" x14ac:dyDescent="0.25">
      <c r="D29" s="245"/>
      <c r="E29" s="245"/>
      <c r="F29" s="403"/>
      <c r="G29" s="403"/>
      <c r="H29" s="403"/>
      <c r="I29" s="403"/>
      <c r="J29" s="403"/>
    </row>
    <row r="30" spans="2:10" ht="6.6" customHeight="1" x14ac:dyDescent="0.25">
      <c r="D30" s="245"/>
      <c r="E30" s="245"/>
      <c r="F30" s="403"/>
      <c r="G30" s="403"/>
      <c r="H30" s="403"/>
      <c r="I30" s="403"/>
      <c r="J30" s="403"/>
    </row>
    <row r="31" spans="2:10" ht="10.199999999999999" customHeight="1" x14ac:dyDescent="0.25">
      <c r="D31" s="245"/>
      <c r="E31" s="245"/>
      <c r="F31" s="391"/>
      <c r="G31" s="391"/>
      <c r="H31" s="391"/>
      <c r="I31" s="391"/>
      <c r="J31" s="391"/>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91" t="s">
        <v>7</v>
      </c>
      <c r="E36" s="391"/>
      <c r="F36" s="391"/>
      <c r="G36" s="391"/>
      <c r="H36" s="391"/>
      <c r="I36" s="391"/>
      <c r="J36" s="391"/>
    </row>
    <row r="37" spans="2:11" ht="14.4" thickBot="1" x14ac:dyDescent="0.3">
      <c r="B37" s="117"/>
      <c r="C37" s="113"/>
      <c r="D37" s="12"/>
      <c r="E37" s="128"/>
      <c r="F37" s="245"/>
      <c r="G37" s="245"/>
      <c r="H37" s="245"/>
      <c r="I37" s="245"/>
      <c r="J37" s="245"/>
    </row>
    <row r="38" spans="2:11" ht="14.4" customHeight="1" thickBot="1" x14ac:dyDescent="0.3">
      <c r="B38" s="241"/>
      <c r="C38" s="113"/>
      <c r="D38" s="392" t="s">
        <v>8</v>
      </c>
      <c r="E38" s="392"/>
      <c r="F38" s="392"/>
      <c r="G38" s="392"/>
      <c r="H38" s="392"/>
      <c r="I38" s="392"/>
      <c r="J38" s="392"/>
    </row>
    <row r="39" spans="2:11" ht="14.4" customHeight="1" thickBot="1" x14ac:dyDescent="0.3">
      <c r="D39" s="392"/>
      <c r="E39" s="392"/>
      <c r="F39" s="392"/>
      <c r="G39" s="392"/>
      <c r="H39" s="392"/>
      <c r="I39" s="392"/>
      <c r="J39" s="392"/>
    </row>
    <row r="40" spans="2:11" ht="14.4" thickBot="1" x14ac:dyDescent="0.3">
      <c r="B40" s="117"/>
      <c r="C40" s="113"/>
      <c r="D40" s="12"/>
      <c r="E40" s="128"/>
      <c r="F40" s="245"/>
      <c r="G40" s="245"/>
      <c r="H40" s="245"/>
      <c r="I40" s="245"/>
      <c r="J40" s="245"/>
    </row>
    <row r="41" spans="2:11" ht="19.5" customHeight="1" thickBot="1" x14ac:dyDescent="0.3">
      <c r="B41" s="175" t="s">
        <v>9</v>
      </c>
      <c r="C41" s="113"/>
      <c r="D41" s="389" t="s">
        <v>10</v>
      </c>
      <c r="E41" s="389"/>
      <c r="F41" s="389"/>
      <c r="G41" s="389"/>
      <c r="H41" s="389"/>
      <c r="I41" s="389"/>
      <c r="J41" s="389"/>
    </row>
    <row r="42" spans="2:11" x14ac:dyDescent="0.25">
      <c r="B42" s="113"/>
      <c r="C42" s="113"/>
      <c r="D42" s="12"/>
      <c r="E42" s="128"/>
      <c r="F42" s="129"/>
      <c r="G42" s="245"/>
      <c r="H42" s="245"/>
      <c r="I42" s="245"/>
      <c r="J42" s="245"/>
    </row>
    <row r="43" spans="2:11" ht="14.4" customHeight="1" x14ac:dyDescent="0.25">
      <c r="B43" s="390" t="s">
        <v>11</v>
      </c>
      <c r="C43" s="103"/>
      <c r="D43" s="391" t="s">
        <v>12</v>
      </c>
      <c r="E43" s="391"/>
      <c r="F43" s="391"/>
      <c r="G43" s="391"/>
      <c r="H43" s="391"/>
      <c r="I43" s="391"/>
      <c r="J43" s="391"/>
    </row>
    <row r="44" spans="2:11" ht="14.4" x14ac:dyDescent="0.25">
      <c r="B44" s="390"/>
      <c r="C44" s="103"/>
      <c r="D44" s="391"/>
      <c r="E44" s="391"/>
      <c r="F44" s="391"/>
      <c r="G44" s="391"/>
      <c r="H44" s="391"/>
      <c r="I44" s="391"/>
      <c r="J44" s="391"/>
    </row>
    <row r="45" spans="2:11" x14ac:dyDescent="0.25">
      <c r="D45" s="112"/>
      <c r="E45" s="112"/>
      <c r="F45" s="114"/>
      <c r="G45" s="114"/>
      <c r="H45" s="114"/>
      <c r="I45" s="114"/>
      <c r="J45" s="114"/>
    </row>
    <row r="46" spans="2:11" ht="58.2" customHeight="1" x14ac:dyDescent="0.25">
      <c r="B46" s="391" t="s">
        <v>607</v>
      </c>
      <c r="C46" s="391"/>
      <c r="D46" s="391"/>
      <c r="E46" s="391"/>
      <c r="F46" s="391"/>
      <c r="G46" s="391"/>
      <c r="H46" s="391"/>
      <c r="I46" s="391"/>
      <c r="J46" s="391"/>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91" t="s">
        <v>14</v>
      </c>
      <c r="C50" s="391"/>
      <c r="D50" s="391"/>
      <c r="E50" s="391"/>
      <c r="F50" s="391"/>
      <c r="G50" s="391"/>
      <c r="H50" s="391"/>
      <c r="I50" s="391"/>
      <c r="J50" s="391"/>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3"/>
  <sheetViews>
    <sheetView showGridLines="0" tabSelected="1"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418</v>
      </c>
      <c r="I2" s="106" t="s">
        <v>20</v>
      </c>
    </row>
    <row r="4" spans="1:9" x14ac:dyDescent="0.25">
      <c r="B4" s="154" t="s">
        <v>21</v>
      </c>
      <c r="C4" s="3"/>
      <c r="D4" s="3"/>
      <c r="E4" s="3"/>
      <c r="F4" s="3"/>
      <c r="G4" s="3"/>
      <c r="H4" s="3"/>
    </row>
    <row r="6" spans="1:9" x14ac:dyDescent="0.25">
      <c r="B6" s="1" t="s">
        <v>433</v>
      </c>
      <c r="C6" s="408"/>
      <c r="D6" s="409"/>
      <c r="E6" s="409"/>
      <c r="F6" s="409"/>
      <c r="G6" s="409"/>
      <c r="H6" s="410"/>
    </row>
    <row r="7" spans="1:9" x14ac:dyDescent="0.25">
      <c r="C7" s="411"/>
      <c r="D7" s="412"/>
      <c r="E7" s="412"/>
      <c r="F7" s="412"/>
      <c r="G7" s="412"/>
      <c r="H7" s="413"/>
    </row>
    <row r="8" spans="1:9" x14ac:dyDescent="0.25">
      <c r="C8" s="414"/>
      <c r="D8" s="415"/>
      <c r="E8" s="415"/>
      <c r="F8" s="415"/>
      <c r="G8" s="415"/>
      <c r="H8" s="416"/>
    </row>
    <row r="9" spans="1:9" x14ac:dyDescent="0.25">
      <c r="B9" s="7" t="s">
        <v>22</v>
      </c>
      <c r="C9" s="417"/>
      <c r="D9" s="418"/>
      <c r="E9" s="418"/>
      <c r="F9" s="418"/>
      <c r="G9" s="418"/>
      <c r="H9" s="419"/>
    </row>
    <row r="10" spans="1:9" x14ac:dyDescent="0.25">
      <c r="B10" s="1" t="s">
        <v>23</v>
      </c>
      <c r="C10" s="417"/>
      <c r="D10" s="418"/>
      <c r="E10" s="418"/>
      <c r="F10" s="418"/>
      <c r="G10" s="418"/>
      <c r="H10" s="419"/>
    </row>
    <row r="11" spans="1:9" x14ac:dyDescent="0.25">
      <c r="B11" s="1" t="s">
        <v>24</v>
      </c>
      <c r="C11" s="150"/>
      <c r="D11" s="55"/>
      <c r="E11" s="55"/>
      <c r="F11" s="55"/>
      <c r="G11" s="55"/>
      <c r="H11" s="55"/>
    </row>
    <row r="12" spans="1:9" x14ac:dyDescent="0.25">
      <c r="C12" s="169"/>
      <c r="D12" s="55"/>
      <c r="E12" s="55"/>
      <c r="F12" s="55"/>
      <c r="G12" s="55"/>
      <c r="H12" s="55"/>
    </row>
    <row r="13" spans="1:9" ht="14.4" customHeight="1" x14ac:dyDescent="0.25">
      <c r="A13" s="390" t="s">
        <v>11</v>
      </c>
      <c r="B13" s="1" t="s">
        <v>557</v>
      </c>
      <c r="C13" s="405"/>
      <c r="D13" s="406"/>
      <c r="E13" s="55"/>
      <c r="F13" s="55"/>
      <c r="G13" s="55"/>
      <c r="H13" s="55"/>
    </row>
    <row r="14" spans="1:9" ht="13.8" customHeight="1" x14ac:dyDescent="0.25">
      <c r="A14" s="390"/>
      <c r="B14" s="1" t="s">
        <v>559</v>
      </c>
      <c r="C14" s="405"/>
      <c r="D14" s="406"/>
      <c r="E14" s="55"/>
      <c r="F14" s="55"/>
      <c r="G14" s="55"/>
      <c r="H14" s="55"/>
    </row>
    <row r="15" spans="1:9" x14ac:dyDescent="0.25">
      <c r="C15" s="55"/>
      <c r="D15" s="55"/>
      <c r="E15" s="55"/>
      <c r="F15" s="55"/>
      <c r="G15" s="55"/>
      <c r="H15" s="55"/>
    </row>
    <row r="16" spans="1:9" x14ac:dyDescent="0.25">
      <c r="B16" s="1" t="s">
        <v>419</v>
      </c>
      <c r="C16" s="152"/>
      <c r="D16" s="55" t="s">
        <v>25</v>
      </c>
      <c r="E16" s="55"/>
      <c r="F16" s="55"/>
      <c r="G16" s="55"/>
      <c r="H16" s="55"/>
    </row>
    <row r="17" spans="1:14" x14ac:dyDescent="0.25">
      <c r="C17" s="55"/>
      <c r="D17" s="55"/>
      <c r="E17" s="55"/>
      <c r="F17" s="55"/>
      <c r="G17" s="55"/>
      <c r="H17" s="55"/>
    </row>
    <row r="18" spans="1:14" x14ac:dyDescent="0.25">
      <c r="B18" s="1" t="s">
        <v>26</v>
      </c>
      <c r="C18" s="153"/>
      <c r="D18" s="55"/>
      <c r="E18" s="55"/>
      <c r="F18" s="55"/>
      <c r="G18" s="55"/>
      <c r="H18" s="55"/>
    </row>
    <row r="19" spans="1:14" x14ac:dyDescent="0.25">
      <c r="C19" s="55"/>
      <c r="D19" s="55"/>
      <c r="E19" s="55"/>
      <c r="F19" s="55"/>
      <c r="G19" s="55"/>
      <c r="H19" s="55"/>
    </row>
    <row r="20" spans="1:14" x14ac:dyDescent="0.25">
      <c r="B20" s="297" t="s">
        <v>401</v>
      </c>
      <c r="C20" s="151"/>
      <c r="D20" s="55"/>
      <c r="E20" s="55"/>
      <c r="F20" s="55"/>
      <c r="G20" s="55"/>
      <c r="H20" s="55"/>
    </row>
    <row r="21" spans="1:14" x14ac:dyDescent="0.25">
      <c r="B21" s="296"/>
      <c r="C21" s="55"/>
      <c r="D21" s="55"/>
      <c r="E21" s="55"/>
      <c r="F21" s="55"/>
      <c r="G21" s="55"/>
      <c r="H21" s="55"/>
    </row>
    <row r="22" spans="1:14" x14ac:dyDescent="0.25">
      <c r="B22" s="7" t="s">
        <v>28</v>
      </c>
      <c r="C22" s="151"/>
      <c r="D22" s="55" t="s">
        <v>29</v>
      </c>
      <c r="E22" s="55"/>
      <c r="F22" s="55"/>
      <c r="G22" s="55"/>
      <c r="H22" s="55"/>
    </row>
    <row r="24" spans="1:14" ht="14.4" x14ac:dyDescent="0.25">
      <c r="A24" s="97" t="s">
        <v>11</v>
      </c>
      <c r="B24" s="407" t="s">
        <v>30</v>
      </c>
      <c r="C24" s="404"/>
      <c r="D24" s="404"/>
    </row>
    <row r="25" spans="1:14" x14ac:dyDescent="0.25">
      <c r="B25" s="407"/>
    </row>
    <row r="26" spans="1:14" x14ac:dyDescent="0.25">
      <c r="B26" s="176"/>
    </row>
    <row r="27" spans="1:14" ht="16.2" x14ac:dyDescent="0.35">
      <c r="A27" s="97" t="s">
        <v>11</v>
      </c>
      <c r="B27" s="176" t="s">
        <v>32</v>
      </c>
      <c r="C27" s="153"/>
      <c r="D27" s="1" t="s">
        <v>33</v>
      </c>
      <c r="E27" s="1" t="s">
        <v>400</v>
      </c>
      <c r="F27" s="273">
        <f>Grunddaten!G46</f>
        <v>0</v>
      </c>
      <c r="G27" s="1" t="s">
        <v>33</v>
      </c>
    </row>
    <row r="29" spans="1:14" x14ac:dyDescent="0.25">
      <c r="B29" s="154" t="s">
        <v>606</v>
      </c>
      <c r="C29" s="4"/>
      <c r="D29" s="4"/>
      <c r="E29" s="4"/>
      <c r="F29" s="3"/>
      <c r="G29" s="3"/>
      <c r="H29" s="3"/>
    </row>
    <row r="30" spans="1:14" x14ac:dyDescent="0.25">
      <c r="C30" s="10"/>
      <c r="D30" s="10"/>
      <c r="F30" s="10"/>
      <c r="G30" s="10"/>
      <c r="H30" s="11"/>
      <c r="I30" s="8"/>
      <c r="J30" s="8"/>
      <c r="K30" s="8"/>
      <c r="L30" s="8"/>
      <c r="M30" s="7"/>
      <c r="N30" s="7"/>
    </row>
    <row r="31" spans="1:14" x14ac:dyDescent="0.25">
      <c r="B31" s="170" t="s">
        <v>34</v>
      </c>
      <c r="C31" s="10"/>
      <c r="D31" s="13" t="s">
        <v>35</v>
      </c>
      <c r="F31" s="10"/>
      <c r="G31" s="10"/>
      <c r="I31" s="7"/>
      <c r="J31" s="146" t="s">
        <v>36</v>
      </c>
      <c r="K31" s="8"/>
      <c r="L31" s="8"/>
      <c r="M31" s="7"/>
      <c r="N31" s="7"/>
    </row>
    <row r="32" spans="1:14" ht="14.4" x14ac:dyDescent="0.25">
      <c r="A32" s="97" t="s">
        <v>11</v>
      </c>
      <c r="B32" s="1" t="s">
        <v>37</v>
      </c>
      <c r="C32" s="171">
        <v>50</v>
      </c>
      <c r="D32" s="242"/>
      <c r="E32" s="9" t="s">
        <v>38</v>
      </c>
      <c r="F32" s="172"/>
      <c r="G32" s="173"/>
      <c r="I32" s="7"/>
      <c r="J32" s="146">
        <f>IF(ISNUMBER(D32),D32,C32)</f>
        <v>50</v>
      </c>
      <c r="K32" s="8"/>
      <c r="L32" s="8"/>
      <c r="M32" s="7"/>
      <c r="N32" s="7"/>
    </row>
    <row r="33" spans="2:14" x14ac:dyDescent="0.25">
      <c r="B33" s="1" t="s">
        <v>39</v>
      </c>
      <c r="C33" s="10">
        <f>100-J32</f>
        <v>50</v>
      </c>
      <c r="D33" s="10"/>
      <c r="F33" s="10"/>
      <c r="G33" s="10"/>
      <c r="I33" s="7"/>
      <c r="J33" s="7"/>
      <c r="K33" s="7"/>
      <c r="L33" s="7"/>
      <c r="M33" s="7"/>
      <c r="N33" s="7"/>
    </row>
  </sheetData>
  <sheetProtection sheet="1" objects="1" scenarios="1"/>
  <mergeCells count="8">
    <mergeCell ref="A13:A14"/>
    <mergeCell ref="C24:D24"/>
    <mergeCell ref="C14:D14"/>
    <mergeCell ref="B24:B25"/>
    <mergeCell ref="C6:H8"/>
    <mergeCell ref="C9:H9"/>
    <mergeCell ref="C10:H10"/>
    <mergeCell ref="C13:D13"/>
  </mergeCells>
  <conditionalFormatting sqref="A25:A26 B24:D24 C25:D26 D27">
    <cfRule type="expression" dxfId="103" priority="6">
      <formula>$C$18&lt;&gt;"Kauf"</formula>
    </cfRule>
  </conditionalFormatting>
  <conditionalFormatting sqref="A24">
    <cfRule type="expression" dxfId="102" priority="5">
      <formula>$C$18&lt;&gt;"Kauf"</formula>
    </cfRule>
  </conditionalFormatting>
  <conditionalFormatting sqref="G27">
    <cfRule type="expression" dxfId="101" priority="4">
      <formula>$C$18&lt;&gt;"Kauf"</formula>
    </cfRule>
  </conditionalFormatting>
  <conditionalFormatting sqref="B14:D14">
    <cfRule type="expression" dxfId="100" priority="1">
      <formula>Laderaum="Höhe ≥ 1,4 m oder Länge ≥ 3,0 m"</formula>
    </cfRule>
  </conditionalFormatting>
  <dataValidations count="2">
    <dataValidation type="list" allowBlank="1" showInputMessage="1" showErrorMessage="1" sqref="C24:D24" xr:uid="{00000000-0002-0000-0100-000000000000}">
      <formula1>KaufpreisRechList</formula1>
    </dataValidation>
    <dataValidation type="list" allowBlank="1" showInputMessage="1" showErrorMessage="1" sqref="C27"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7ADD3A-3CB2-4BEF-8244-0075E3EE693F}">
            <xm:f>ISBLANK(Grunddaten!$G$46)</xm:f>
            <x14:dxf>
              <font>
                <color theme="0"/>
              </font>
              <fill>
                <patternFill>
                  <bgColor theme="0"/>
                </patternFill>
              </fill>
            </x14:dxf>
          </x14:cfRule>
          <xm:sqref>E27:G27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Listen!$B$3:$B$5</xm:f>
          </x14:formula1>
          <xm:sqref>C18</xm:sqref>
        </x14:dataValidation>
        <x14:dataValidation type="list" allowBlank="1" showInputMessage="1" showErrorMessage="1" xr:uid="{D9B57807-8768-428E-81E6-9BB6C80304A8}">
          <x14:formula1>
            <xm:f>Listen!$B$30:$B$31</xm:f>
          </x14:formula1>
          <xm:sqref>C13:D13</xm:sqref>
        </x14:dataValidation>
        <x14:dataValidation type="list" allowBlank="1" showInputMessage="1" showErrorMessage="1" xr:uid="{4FDE8645-EE11-4702-B756-6FC79F36F31C}">
          <x14:formula1>
            <xm:f>Listen!$B$34:$B$38</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3"/>
  <sheetViews>
    <sheetView showGridLines="0" zoomScaleNormal="100" workbookViewId="0"/>
  </sheetViews>
  <sheetFormatPr baseColWidth="10" defaultColWidth="11.5546875" defaultRowHeight="13.8" x14ac:dyDescent="0.25"/>
  <cols>
    <col min="1" max="1" width="2.109375" style="1" customWidth="1"/>
    <col min="2" max="2" width="5.109375" style="1" customWidth="1"/>
    <col min="3" max="3" width="31.5546875" style="1" customWidth="1"/>
    <col min="4" max="4" width="18.44140625" style="1" customWidth="1"/>
    <col min="5" max="9" width="16.7773437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396</v>
      </c>
      <c r="D2" s="2"/>
      <c r="J2" s="7"/>
      <c r="K2" s="106" t="s">
        <v>20</v>
      </c>
      <c r="O2" s="7"/>
      <c r="P2" s="7"/>
      <c r="Q2" s="7"/>
      <c r="R2" s="7"/>
    </row>
    <row r="3" spans="2:18" x14ac:dyDescent="0.25">
      <c r="J3" s="7"/>
      <c r="O3" s="7"/>
      <c r="P3" s="7"/>
      <c r="Q3" s="7"/>
      <c r="R3" s="7"/>
    </row>
    <row r="4" spans="2:18" x14ac:dyDescent="0.25">
      <c r="C4" s="155" t="s">
        <v>40</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41</v>
      </c>
      <c r="D6" s="88"/>
      <c r="E6" s="161">
        <v>1</v>
      </c>
      <c r="F6" s="161">
        <v>2</v>
      </c>
      <c r="G6" s="161">
        <v>3</v>
      </c>
      <c r="H6" s="161">
        <v>4</v>
      </c>
      <c r="I6" s="161">
        <v>5</v>
      </c>
      <c r="J6" s="7"/>
      <c r="O6" s="7"/>
      <c r="P6" s="7"/>
      <c r="Q6" s="7"/>
      <c r="R6" s="7"/>
    </row>
    <row r="7" spans="2:18" s="91" customFormat="1" ht="27.6" customHeight="1" x14ac:dyDescent="0.3">
      <c r="C7" s="162" t="s">
        <v>42</v>
      </c>
      <c r="D7" s="162"/>
      <c r="E7" s="139"/>
      <c r="F7" s="139"/>
      <c r="G7" s="139"/>
      <c r="H7" s="139"/>
      <c r="I7" s="139"/>
      <c r="J7" s="163"/>
      <c r="K7" s="164"/>
      <c r="L7" s="164"/>
      <c r="M7" s="164"/>
      <c r="N7" s="164"/>
      <c r="O7" s="164"/>
      <c r="P7" s="164"/>
      <c r="Q7" s="164"/>
      <c r="R7" s="164"/>
    </row>
    <row r="8" spans="2:18" s="91" customFormat="1" x14ac:dyDescent="0.3">
      <c r="C8" s="162" t="s">
        <v>46</v>
      </c>
      <c r="D8" s="162"/>
      <c r="E8" s="139"/>
      <c r="F8" s="139"/>
      <c r="G8" s="139"/>
      <c r="H8" s="139"/>
      <c r="I8" s="139"/>
      <c r="J8" s="163"/>
      <c r="K8" s="235"/>
      <c r="L8" s="235" t="str">
        <f>IF(J23&gt;0,"FEHLER - bitte treffenden Energieträger wählen","")</f>
        <v/>
      </c>
      <c r="M8" s="235"/>
      <c r="N8" s="235"/>
      <c r="O8" s="227"/>
      <c r="P8" s="164"/>
      <c r="Q8" s="164"/>
      <c r="R8" s="164"/>
    </row>
    <row r="9" spans="2:18" s="91" customFormat="1" x14ac:dyDescent="0.3">
      <c r="C9" s="162" t="s">
        <v>50</v>
      </c>
      <c r="D9" s="162"/>
      <c r="E9" s="140"/>
      <c r="F9" s="140"/>
      <c r="G9" s="140"/>
      <c r="H9" s="140"/>
      <c r="I9" s="140"/>
      <c r="J9" s="238"/>
      <c r="K9" s="236"/>
      <c r="L9" s="239"/>
      <c r="M9" s="239"/>
      <c r="N9" s="236"/>
      <c r="O9" s="164"/>
      <c r="P9" s="164"/>
      <c r="Q9" s="164"/>
      <c r="R9" s="164"/>
    </row>
    <row r="10" spans="2:18" s="91" customFormat="1" x14ac:dyDescent="0.3">
      <c r="C10" s="162" t="s">
        <v>51</v>
      </c>
      <c r="D10" s="162"/>
      <c r="E10" s="140"/>
      <c r="F10" s="140"/>
      <c r="G10" s="140"/>
      <c r="H10" s="140"/>
      <c r="I10" s="140"/>
      <c r="J10" s="238"/>
      <c r="K10" s="236"/>
      <c r="L10" s="431" t="s">
        <v>397</v>
      </c>
      <c r="M10" s="431"/>
      <c r="N10" s="236"/>
      <c r="O10" s="164"/>
      <c r="P10" s="164"/>
      <c r="Q10" s="164"/>
      <c r="R10" s="164"/>
    </row>
    <row r="11" spans="2:18" s="91" customFormat="1" x14ac:dyDescent="0.3">
      <c r="C11" s="162" t="s">
        <v>52</v>
      </c>
      <c r="D11" s="162"/>
      <c r="E11" s="141"/>
      <c r="F11" s="141"/>
      <c r="G11" s="141"/>
      <c r="H11" s="141"/>
      <c r="I11" s="141"/>
      <c r="J11" s="238"/>
      <c r="K11" s="433" t="s">
        <v>53</v>
      </c>
      <c r="L11" s="433"/>
      <c r="M11" s="433"/>
      <c r="N11" s="433"/>
      <c r="O11" s="164"/>
      <c r="P11" s="164"/>
      <c r="Q11" s="164"/>
      <c r="R11" s="164"/>
    </row>
    <row r="12" spans="2:18" s="91" customFormat="1" ht="55.95" customHeight="1" x14ac:dyDescent="0.25">
      <c r="C12" s="165" t="s">
        <v>54</v>
      </c>
      <c r="D12" s="88"/>
      <c r="E12" s="141"/>
      <c r="F12" s="141"/>
      <c r="G12" s="141"/>
      <c r="H12" s="141"/>
      <c r="I12" s="141"/>
      <c r="J12" s="164"/>
      <c r="K12" s="432" t="s">
        <v>55</v>
      </c>
      <c r="L12" s="432"/>
      <c r="M12" s="432"/>
      <c r="N12" s="432"/>
      <c r="O12" s="164"/>
      <c r="P12" s="164"/>
      <c r="Q12" s="164"/>
      <c r="R12" s="164"/>
    </row>
    <row r="13" spans="2:18" s="91" customFormat="1" ht="55.95" customHeight="1" x14ac:dyDescent="0.25">
      <c r="C13" s="165" t="s">
        <v>558</v>
      </c>
      <c r="D13" s="383"/>
      <c r="E13" s="139"/>
      <c r="F13" s="139"/>
      <c r="G13" s="139"/>
      <c r="H13" s="139"/>
      <c r="I13" s="139"/>
      <c r="J13" s="164"/>
      <c r="K13" s="365"/>
      <c r="L13" s="365"/>
      <c r="M13" s="365"/>
      <c r="N13" s="365"/>
      <c r="O13" s="164"/>
      <c r="P13" s="164"/>
      <c r="Q13" s="164"/>
      <c r="R13" s="164"/>
    </row>
    <row r="14" spans="2:18" s="91" customFormat="1" ht="14.4" x14ac:dyDescent="0.3">
      <c r="C14" s="162" t="str">
        <f>IF(ISBLANK(FinArt), "Art der Beschaffung wählen in:", VLOOKUP(FinArt,FinArtList,3,FALSE))</f>
        <v>Art der Beschaffung wählen in:</v>
      </c>
      <c r="D14" s="166" t="str">
        <f>IF(ISBLANK(FinArt), "Input_Beschaffung", VLOOKUP(FinArt,FinArtList,2,FALSE))</f>
        <v>Input_Beschaffung</v>
      </c>
      <c r="E14" s="142"/>
      <c r="F14" s="142"/>
      <c r="G14" s="142"/>
      <c r="H14" s="142"/>
      <c r="I14" s="142"/>
      <c r="J14" s="164"/>
      <c r="K14" s="236"/>
      <c r="L14" s="239"/>
      <c r="M14" s="239"/>
      <c r="N14" s="237"/>
      <c r="O14" s="167"/>
      <c r="P14" s="167"/>
      <c r="Q14" s="164"/>
      <c r="R14" s="164"/>
    </row>
    <row r="15" spans="2:18" s="91" customFormat="1" x14ac:dyDescent="0.3">
      <c r="C15" s="162" t="s">
        <v>56</v>
      </c>
      <c r="D15" s="263" t="s">
        <v>57</v>
      </c>
      <c r="E15" s="360"/>
      <c r="F15" s="363"/>
      <c r="G15" s="360"/>
      <c r="H15" s="360"/>
      <c r="I15" s="360"/>
      <c r="J15" s="264" t="s">
        <v>58</v>
      </c>
      <c r="K15" s="164"/>
      <c r="L15" s="164"/>
      <c r="M15" s="164"/>
      <c r="N15" s="164"/>
      <c r="O15" s="164"/>
      <c r="P15" s="164"/>
      <c r="Q15" s="164"/>
      <c r="R15" s="164"/>
    </row>
    <row r="16" spans="2:18" s="91" customFormat="1" ht="16.95" customHeight="1" x14ac:dyDescent="0.3">
      <c r="B16" s="430" t="s">
        <v>59</v>
      </c>
      <c r="C16" s="428" t="s">
        <v>60</v>
      </c>
      <c r="D16" s="358" t="s">
        <v>61</v>
      </c>
      <c r="E16" s="364"/>
      <c r="F16" s="257"/>
      <c r="G16" s="362"/>
      <c r="H16" s="362"/>
      <c r="I16" s="361"/>
      <c r="J16" s="359"/>
      <c r="K16" s="164"/>
      <c r="L16" s="164"/>
      <c r="M16" s="164"/>
      <c r="N16" s="164"/>
      <c r="P16" s="167"/>
      <c r="Q16" s="167"/>
      <c r="R16" s="164"/>
    </row>
    <row r="17" spans="2:18" s="91" customFormat="1" ht="16.95" customHeight="1" x14ac:dyDescent="0.3">
      <c r="B17" s="430"/>
      <c r="C17" s="429"/>
      <c r="D17" s="166" t="s">
        <v>62</v>
      </c>
      <c r="E17" s="356"/>
      <c r="F17" s="257"/>
      <c r="G17" s="257"/>
      <c r="H17" s="257"/>
      <c r="I17" s="357"/>
      <c r="J17" s="164"/>
      <c r="K17" s="164"/>
      <c r="L17" s="164"/>
      <c r="M17" s="164"/>
      <c r="N17" s="164"/>
      <c r="O17" s="164"/>
      <c r="P17" s="164"/>
      <c r="Q17" s="164"/>
      <c r="R17" s="164"/>
    </row>
    <row r="18" spans="2:18" s="91" customFormat="1" ht="16.95" customHeight="1" x14ac:dyDescent="0.3">
      <c r="B18" s="430"/>
      <c r="C18" s="162" t="s">
        <v>63</v>
      </c>
      <c r="D18" s="166" t="s">
        <v>64</v>
      </c>
      <c r="E18" s="258"/>
      <c r="F18" s="140"/>
      <c r="G18" s="140"/>
      <c r="H18" s="140"/>
      <c r="I18" s="259"/>
      <c r="J18" s="164"/>
      <c r="K18" s="164"/>
      <c r="L18" s="167"/>
      <c r="M18" s="164"/>
      <c r="N18" s="164"/>
      <c r="O18" s="164"/>
      <c r="P18" s="164"/>
      <c r="Q18" s="164"/>
      <c r="R18" s="164"/>
    </row>
    <row r="19" spans="2:18" s="91" customFormat="1" ht="16.95" customHeight="1" x14ac:dyDescent="0.3">
      <c r="B19" s="430"/>
      <c r="C19" s="162" t="s">
        <v>65</v>
      </c>
      <c r="D19" s="166" t="s">
        <v>66</v>
      </c>
      <c r="E19" s="258"/>
      <c r="F19" s="140"/>
      <c r="G19" s="140"/>
      <c r="H19" s="140"/>
      <c r="I19" s="259"/>
      <c r="J19" s="164"/>
      <c r="K19" s="235"/>
      <c r="L19" s="235" t="str">
        <f>IF(SUM(J23:J28)&gt;0,"FEHLER: Bitte alle Werte füllen","")</f>
        <v/>
      </c>
      <c r="M19" s="240"/>
      <c r="N19" s="240"/>
      <c r="O19" s="227"/>
      <c r="P19" s="164"/>
      <c r="Q19" s="164"/>
      <c r="R19" s="164"/>
    </row>
    <row r="20" spans="2:18" s="91" customFormat="1" ht="16.95" customHeight="1" x14ac:dyDescent="0.3">
      <c r="B20" s="430"/>
      <c r="C20" s="162" t="s">
        <v>67</v>
      </c>
      <c r="D20" s="166" t="s">
        <v>66</v>
      </c>
      <c r="E20" s="258"/>
      <c r="F20" s="140"/>
      <c r="G20" s="140"/>
      <c r="H20" s="140"/>
      <c r="I20" s="259"/>
      <c r="J20" s="164"/>
      <c r="K20" s="164"/>
      <c r="L20" s="167"/>
      <c r="M20" s="164"/>
      <c r="N20" s="164"/>
      <c r="O20" s="164"/>
      <c r="P20" s="164"/>
      <c r="Q20" s="164"/>
      <c r="R20" s="164"/>
    </row>
    <row r="21" spans="2:18" s="91" customFormat="1" ht="16.95" customHeight="1" x14ac:dyDescent="0.3">
      <c r="B21" s="430"/>
      <c r="C21" s="162" t="s">
        <v>68</v>
      </c>
      <c r="D21" s="166" t="s">
        <v>69</v>
      </c>
      <c r="E21" s="260"/>
      <c r="F21" s="261"/>
      <c r="G21" s="261"/>
      <c r="H21" s="261"/>
      <c r="I21" s="262"/>
      <c r="J21" s="182"/>
      <c r="K21" s="164"/>
      <c r="L21" s="167"/>
      <c r="M21" s="164"/>
      <c r="N21" s="164"/>
      <c r="O21" s="164"/>
      <c r="P21" s="164"/>
      <c r="Q21" s="164"/>
      <c r="R21" s="164"/>
    </row>
    <row r="22" spans="2:18" s="91" customFormat="1" x14ac:dyDescent="0.3">
      <c r="C22" s="162" t="s">
        <v>70</v>
      </c>
      <c r="D22" s="168" t="s">
        <v>71</v>
      </c>
      <c r="E22" s="257"/>
      <c r="F22" s="257"/>
      <c r="G22" s="257"/>
      <c r="H22" s="257"/>
      <c r="I22" s="257"/>
      <c r="J22" s="164"/>
      <c r="K22" s="164"/>
      <c r="L22" s="164"/>
      <c r="M22" s="164"/>
      <c r="N22" s="164"/>
      <c r="O22" s="164"/>
      <c r="P22" s="164"/>
      <c r="Q22" s="164"/>
      <c r="R22" s="164"/>
    </row>
    <row r="23" spans="2:18" x14ac:dyDescent="0.25">
      <c r="D23" s="228" t="s">
        <v>72</v>
      </c>
      <c r="E23" s="388">
        <f>IF(AND(OR(Energie1="nicht verfügbar",COUNTIF(EnList1,Energie1)&lt;&gt;1),Antriebsart1&lt;&gt;0),1,0)</f>
        <v>0</v>
      </c>
      <c r="F23" s="388">
        <f>IF(AND(OR(Energie2="nicht verfügbar",COUNTIF(EnList2,Energie2)&lt;&gt;1),Antriebsart2&lt;&gt;0),1,0)</f>
        <v>0</v>
      </c>
      <c r="G23" s="388">
        <f>IF(AND(OR(Energie3="nicht verfügbar",COUNTIF(EnList3,Energie3)&lt;&gt;1),Antriebsart3&lt;&gt;0),1,0)</f>
        <v>0</v>
      </c>
      <c r="H23" s="388">
        <f>IF(AND(OR(Energie4="nicht verfügbar",COUNTIF(EnList4,Energie4)&lt;&gt;1),Antriebsart4&lt;&gt;0),1,0)</f>
        <v>0</v>
      </c>
      <c r="I23" s="388">
        <f>IF(AND(OR(Energie5="nicht verfügbar",COUNTIF(EnList5,Energie5)&lt;&gt;1),Antriebsart5&lt;&gt;0),1,0)</f>
        <v>0</v>
      </c>
      <c r="J23" s="146">
        <f>SUM(E23:I23)</f>
        <v>0</v>
      </c>
      <c r="O23" s="7"/>
      <c r="P23" s="7"/>
      <c r="Q23" s="7"/>
      <c r="R23" s="7"/>
    </row>
    <row r="24" spans="2:18" ht="14.4" x14ac:dyDescent="0.3">
      <c r="C24" s="77" t="s">
        <v>446</v>
      </c>
      <c r="D24" s="228"/>
      <c r="E24" s="388"/>
      <c r="F24" s="388"/>
      <c r="G24" s="388"/>
      <c r="H24" s="388"/>
      <c r="I24" s="388"/>
      <c r="J24" s="146"/>
      <c r="O24" s="7"/>
      <c r="P24" s="7"/>
      <c r="Q24" s="7"/>
      <c r="R24" s="7"/>
    </row>
    <row r="25" spans="2:18" ht="13.8" customHeight="1" x14ac:dyDescent="0.25">
      <c r="B25" s="390" t="s">
        <v>11</v>
      </c>
      <c r="C25" s="330"/>
      <c r="D25" s="321" t="s">
        <v>142</v>
      </c>
      <c r="E25" s="256"/>
      <c r="F25" s="256"/>
      <c r="G25" s="256"/>
      <c r="H25" s="256"/>
      <c r="I25" s="256"/>
      <c r="J25" s="146"/>
      <c r="O25" s="7"/>
      <c r="P25" s="7"/>
      <c r="Q25" s="7"/>
      <c r="R25" s="7"/>
    </row>
    <row r="26" spans="2:18" ht="13.8" customHeight="1" x14ac:dyDescent="0.25">
      <c r="B26" s="390"/>
      <c r="C26" s="330"/>
      <c r="D26" s="321" t="s">
        <v>142</v>
      </c>
      <c r="E26" s="256"/>
      <c r="F26" s="256"/>
      <c r="G26" s="256"/>
      <c r="H26" s="256"/>
      <c r="I26" s="256"/>
      <c r="J26" s="146"/>
      <c r="O26" s="7"/>
      <c r="P26" s="7"/>
      <c r="Q26" s="7"/>
      <c r="R26" s="7"/>
    </row>
    <row r="27" spans="2:18" x14ac:dyDescent="0.25">
      <c r="B27" s="390"/>
      <c r="C27" s="334"/>
      <c r="D27" s="321" t="s">
        <v>142</v>
      </c>
      <c r="E27" s="256"/>
      <c r="F27" s="256"/>
      <c r="G27" s="256"/>
      <c r="H27" s="256"/>
      <c r="I27" s="256"/>
      <c r="J27" s="146"/>
      <c r="O27" s="7"/>
      <c r="P27" s="7"/>
      <c r="Q27" s="7"/>
      <c r="R27" s="7"/>
    </row>
    <row r="28" spans="2:18" x14ac:dyDescent="0.25">
      <c r="D28" s="228" t="s">
        <v>73</v>
      </c>
      <c r="E28" s="388">
        <f>IF(OR(AND(COUNT(E16:E22)&lt;7,Antriebsart1="Plug-In-Hybrid (PHEV)"),AND(COUNT(E17,E22)&lt;2,Antriebsart1="Vollelektrisch (BEV)"),AND(COUNT(E16,E18:E20)&lt;4,Antriebsart1="Verbrenner")),1,0)</f>
        <v>0</v>
      </c>
      <c r="F28" s="388">
        <f>IF(OR(AND(COUNT(F16:F22)&lt;7,Antriebsart2="Plug-In-Hybrid (PHEV)"),AND(COUNT(F17,F22)&lt;2,Antriebsart2="Vollelektrisch (BEV)"),AND(COUNT(F16,F18:F20)&lt;4,Antriebsart2="Verbrenner")),1,0)</f>
        <v>0</v>
      </c>
      <c r="G28" s="388">
        <f>IF(OR(AND(COUNT(G16:G22)&lt;7,Antriebsart3="Plug-In-Hybrid (PHEV)"),AND(COUNT(G17,G22)&lt;2,Antriebsart3="Vollelektrisch (BEV)"),AND(COUNT(G16,G18:G20)&lt;4,Antriebsart3="Verbrenner")),1,0)</f>
        <v>0</v>
      </c>
      <c r="H28" s="388">
        <f>IF(OR(AND(COUNT(H16:H22)&lt;7,Antriebsart4="Plug-In-Hybrid (PHEV)"),AND(COUNT(H17,H22)&lt;2,Antriebsart4="Vollelektrisch (BEV)"),AND(COUNT(H16,H18:H20)&lt;4,Antriebsart4="Verbrenner")),1,0)</f>
        <v>0</v>
      </c>
      <c r="I28" s="388">
        <f>IF(OR(AND(COUNT(I16:I22)&lt;7,Antriebsart5="Plug-In-Hybrid (PHEV)"),AND(COUNT(I17,I22)&lt;2,Antriebsart5="Vollelektrisch (BEV)"),AND(COUNT(I16,I18:I20)&lt;4,Antriebsart5="Verbrenner")),1,0)</f>
        <v>0</v>
      </c>
      <c r="J28" s="146">
        <f>SUM(E28:I28)</f>
        <v>0</v>
      </c>
      <c r="O28" s="7"/>
      <c r="P28" s="7"/>
      <c r="Q28" s="7"/>
      <c r="R28" s="7"/>
    </row>
    <row r="29" spans="2:18" ht="41.4" customHeight="1" x14ac:dyDescent="0.25">
      <c r="E29" s="425" t="s">
        <v>74</v>
      </c>
      <c r="F29" s="426"/>
      <c r="G29" s="426"/>
      <c r="H29" s="426"/>
      <c r="I29" s="427"/>
    </row>
    <row r="30" spans="2:18" ht="13.2" customHeight="1" x14ac:dyDescent="0.25">
      <c r="E30" s="420" t="s">
        <v>75</v>
      </c>
      <c r="F30" s="407"/>
      <c r="G30" s="407"/>
      <c r="H30" s="407"/>
      <c r="I30" s="421"/>
    </row>
    <row r="31" spans="2:18" x14ac:dyDescent="0.25">
      <c r="E31" s="422"/>
      <c r="F31" s="423"/>
      <c r="G31" s="423"/>
      <c r="H31" s="423"/>
      <c r="I31" s="424"/>
    </row>
    <row r="33" spans="3:3" x14ac:dyDescent="0.25">
      <c r="C33" s="1" t="s">
        <v>420</v>
      </c>
    </row>
  </sheetData>
  <sheetProtection sheet="1" objects="1" scenarios="1"/>
  <mergeCells count="8">
    <mergeCell ref="E30:I31"/>
    <mergeCell ref="E29:I29"/>
    <mergeCell ref="C16:C17"/>
    <mergeCell ref="B16:B21"/>
    <mergeCell ref="L10:M10"/>
    <mergeCell ref="K12:N12"/>
    <mergeCell ref="K11:N11"/>
    <mergeCell ref="B25:B27"/>
  </mergeCells>
  <conditionalFormatting sqref="F17">
    <cfRule type="expression" dxfId="98" priority="21">
      <formula>Antriebsart2="Verbrenner"</formula>
    </cfRule>
    <cfRule type="cellIs" dxfId="97" priority="95" operator="greaterThan">
      <formula>IF(Antriebsart2="Vollelektrisch (BEV)", IF(Laderaum="Höhe ≥ 1,4 m oder Länge ≥ 3,0 m", maxkWh_Laderaum, IF(OR(Zuladung="&lt;700 kg", Zuladung="keine Anforderung"), maxkWh_700kg, IF(Zuladung="700 - &lt;1000 kg", maxkWh_1000kg, maxkWh_größer1000kg))), IF(Antriebsart2="Plug-in-Hybrid (PHEV)", max_Verbrauch_PHEV_kWh, 1000))</formula>
    </cfRule>
  </conditionalFormatting>
  <conditionalFormatting sqref="G17">
    <cfRule type="expression" dxfId="96" priority="20">
      <formula>Antriebsart3="Verbrenner"</formula>
    </cfRule>
    <cfRule type="cellIs" dxfId="95" priority="94" operator="greaterThan">
      <formula>IF(Antriebsart3="Vollelektrisch (BEV)", IF(Laderaum="Höhe ≥ 1,4 m oder Länge ≥ 3,0 m", maxkWh_Laderaum, IF(OR(Zuladung="&lt;700 kg", Zuladung="keine Anforderung"), maxkWh_700kg, IF(Zuladung="700 - &lt;1000 kg", maxkWh_1000kg, maxkWh_größer1000kg))), IF(Antriebsart3="Plug-in-Hybrid (PHEV)", max_Verbrauch_PHEV_kWh, 1000))</formula>
    </cfRule>
  </conditionalFormatting>
  <conditionalFormatting sqref="H17">
    <cfRule type="expression" dxfId="94" priority="19">
      <formula>Antriebsart4="Verbrenner"</formula>
    </cfRule>
    <cfRule type="cellIs" dxfId="93" priority="93" operator="greaterThan">
      <formula>IF(Antriebsart4="Vollelektrisch (BEV)", IF(Laderaum="Höhe ≥ 1,4 m oder Länge ≥ 3,0 m", maxkWh_Laderaum, IF(OR(Zuladung="&lt;700 kg", Zuladung="keine Anforderung"), maxkWh_700kg, IF(Zuladung="700 - &lt;1000 kg", maxkWh_1000kg, maxkWh_größer1000kg))), IF(Antriebsart4="Plug-in-Hybrid (PHEV)", max_Verbrauch_PHEV_kWh, 1000))</formula>
    </cfRule>
  </conditionalFormatting>
  <conditionalFormatting sqref="I17">
    <cfRule type="expression" dxfId="92" priority="18">
      <formula>Antriebsart5="Verbrenner"</formula>
    </cfRule>
    <cfRule type="cellIs" dxfId="91" priority="45" operator="greaterThan">
      <formula>IF(Antriebsart5="Vollelektrisch (BEV)", IF(Laderaum="Höhe ≥ 1,4 m oder Länge ≥ 3,0 m", maxkWh_Laderaum, IF(OR(Zuladung="&lt;700 kg", Zuladung="keine Anforderung"), maxkWh_700kg, IF(Zuladung="700 - &lt;1000 kg", maxkWh_1000kg, maxkWh_größer1000kg))), IF(Antriebsart5="Plug-in-Hybrid (PHEV)", max_Verbrauch_PHEV_kWh, 1000))</formula>
    </cfRule>
  </conditionalFormatting>
  <conditionalFormatting sqref="F18:F20">
    <cfRule type="expression" dxfId="90" priority="15">
      <formula>Antriebsart2="Vollelektrisch (BEV)"</formula>
    </cfRule>
  </conditionalFormatting>
  <conditionalFormatting sqref="G18:G20">
    <cfRule type="expression" dxfId="89" priority="3">
      <formula>Antriebsart3="Vollelektrisch (BEV)"</formula>
    </cfRule>
  </conditionalFormatting>
  <conditionalFormatting sqref="H18:H20">
    <cfRule type="expression" dxfId="88" priority="2">
      <formula>Antriebsart4="Vollelektrisch (BEV)"</formula>
    </cfRule>
  </conditionalFormatting>
  <conditionalFormatting sqref="I18:I20">
    <cfRule type="expression" dxfId="87" priority="1">
      <formula>Antriebsart5="Vollelektrisch (BEV)"</formula>
    </cfRule>
  </conditionalFormatting>
  <conditionalFormatting sqref="F22">
    <cfRule type="expression" dxfId="86" priority="77">
      <formula>AND(Antriebsart2&lt;&gt;"Vollelektrisch (BEV)",Antriebsart2&lt;&gt;"Plug-In-Hybrid (PHEV)")</formula>
    </cfRule>
  </conditionalFormatting>
  <conditionalFormatting sqref="G22">
    <cfRule type="expression" dxfId="85" priority="76">
      <formula>AND(Antriebsart3&lt;&gt;"Vollelektrisch (BEV)",Antriebsart3&lt;&gt;"Plug-In-Hybrid (PHEV)")</formula>
    </cfRule>
  </conditionalFormatting>
  <conditionalFormatting sqref="H22">
    <cfRule type="expression" dxfId="84" priority="75">
      <formula>AND(Antriebsart4&lt;&gt;"Vollelektrisch (BEV)",Antriebsart4&lt;&gt;"Plug-In-Hybrid (PHEV)")</formula>
    </cfRule>
  </conditionalFormatting>
  <conditionalFormatting sqref="I22">
    <cfRule type="expression" dxfId="83" priority="74">
      <formula>AND(Antriebsart5&lt;&gt;"Vollelektrisch (BEV)",Antriebsart5&lt;&gt;"Plug-In-Hybrid (PHEV)")</formula>
    </cfRule>
  </conditionalFormatting>
  <conditionalFormatting sqref="C15 F15:I15">
    <cfRule type="expression" dxfId="82" priority="73">
      <formula>FinArt&lt;&gt;"Leasing"</formula>
    </cfRule>
  </conditionalFormatting>
  <conditionalFormatting sqref="D15">
    <cfRule type="expression" dxfId="81" priority="72">
      <formula>FinArt="Leasing"</formula>
    </cfRule>
  </conditionalFormatting>
  <conditionalFormatting sqref="F16">
    <cfRule type="expression" dxfId="80" priority="8">
      <formula>Antriebsart2="Vollelektrisch (BEV)"</formula>
    </cfRule>
    <cfRule type="cellIs" dxfId="79" priority="70" operator="greaterThan">
      <formula>IF(Antriebsart2="Verbrenner", max_Verbrauch_Verbrenner, IF(Antriebsart2="Plug-in-Hybrid (PHEV)", max_Verbrauch_PHEV_l, 1000))</formula>
    </cfRule>
  </conditionalFormatting>
  <conditionalFormatting sqref="G16">
    <cfRule type="expression" dxfId="78" priority="7">
      <formula>Antriebsart3="Vollelektrisch (BEV)"</formula>
    </cfRule>
    <cfRule type="cellIs" dxfId="77" priority="69" operator="greaterThan">
      <formula>IF(Antriebsart3="Verbrenner", max_Verbrauch_Verbrenner, IF(Antriebsart3="Plug-in-Hybrid (PHEV)", max_Verbrauch_PHEV_l, 1000))</formula>
    </cfRule>
  </conditionalFormatting>
  <conditionalFormatting sqref="H16">
    <cfRule type="expression" dxfId="76" priority="6">
      <formula>Antriebsart4="Vollelektrisch (BEV)"</formula>
    </cfRule>
    <cfRule type="cellIs" dxfId="75" priority="68" operator="greaterThan">
      <formula>IF(Antriebsart4="Verbrenner", max_Verbrauch_Verbrenner, IF(Antriebsart4="Plug-in-Hybrid (PHEV)", max_Verbrauch_PHEV_l, 1000))</formula>
    </cfRule>
  </conditionalFormatting>
  <conditionalFormatting sqref="I16">
    <cfRule type="expression" dxfId="74" priority="10">
      <formula>Antriebsart5="Vollelektrisch (BEV)"</formula>
    </cfRule>
    <cfRule type="cellIs" dxfId="73" priority="67" operator="greaterThan">
      <formula>IF(Antriebsart5="Verbrenner", max_Verbrauch_Verbrenner, IF(Antriebsart5="Plug-in-Hybrid (PHEV)", max_Verbrauch_PHEV_l, 1000))</formula>
    </cfRule>
  </conditionalFormatting>
  <conditionalFormatting sqref="F21">
    <cfRule type="expression" dxfId="72" priority="58">
      <formula>Antriebsart2&lt;&gt;"Plug-In-Hybrid (PHEV)"</formula>
    </cfRule>
  </conditionalFormatting>
  <conditionalFormatting sqref="G21">
    <cfRule type="expression" dxfId="71" priority="57">
      <formula>Antriebsart3&lt;&gt;"Plug-In-Hybrid (PHEV)"</formula>
    </cfRule>
  </conditionalFormatting>
  <conditionalFormatting sqref="H21">
    <cfRule type="expression" dxfId="70" priority="56">
      <formula>Antriebsart4&lt;&gt;"Plug-In-Hybrid (PHEV)"</formula>
    </cfRule>
  </conditionalFormatting>
  <conditionalFormatting sqref="I21">
    <cfRule type="expression" dxfId="69" priority="48">
      <formula>Antriebsart5&lt;&gt;"Plug-In-Hybrid (PHEV)"</formula>
    </cfRule>
  </conditionalFormatting>
  <conditionalFormatting sqref="H18">
    <cfRule type="cellIs" dxfId="68" priority="82" operator="greaterThan">
      <formula>IF(Antriebsart4="Plug-in-Hybrid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9">
    <cfRule type="cellIs" dxfId="67" priority="81" operator="greaterThan">
      <formula>IF(Fahrzeugklasse2=N1I, maxNOX_N1I, IF(Fahrzeugklasse2=N1II, maxNOX_N1II, maxNOX_N1III))</formula>
    </cfRule>
  </conditionalFormatting>
  <conditionalFormatting sqref="F20:I20">
    <cfRule type="cellIs" dxfId="66" priority="80" operator="greaterThan">
      <formula>maxPM</formula>
    </cfRule>
  </conditionalFormatting>
  <conditionalFormatting sqref="E21:I21">
    <cfRule type="cellIs" dxfId="65" priority="60" operator="lessThan">
      <formula>IF(AND(ISNUMBER(minReichwPHEV), ISBLANK(ReichwPHEV5)=FALSE), minReichwPHEV, 0)</formula>
    </cfRule>
  </conditionalFormatting>
  <conditionalFormatting sqref="F8:I8">
    <cfRule type="expression" dxfId="64" priority="39">
      <formula>F$23=1</formula>
    </cfRule>
  </conditionalFormatting>
  <conditionalFormatting sqref="K8:O8">
    <cfRule type="expression" dxfId="63" priority="38">
      <formula>$J$23=0</formula>
    </cfRule>
  </conditionalFormatting>
  <conditionalFormatting sqref="K19:O19">
    <cfRule type="expression" dxfId="62" priority="37">
      <formula>AND($J$23=0,$J$28=0)</formula>
    </cfRule>
  </conditionalFormatting>
  <conditionalFormatting sqref="E17">
    <cfRule type="expression" dxfId="61" priority="35">
      <formula>Antriebsart1="Verbrenner"</formula>
    </cfRule>
    <cfRule type="cellIs" dxfId="60" priority="98" operator="greaterThan">
      <formula>IF(Antriebsart1="Vollelektrisch (BEV)", IF(Laderaum="Höhe ≥ 1,4 m oder Länge ≥ 3,0 m", maxkWh_Laderaum, IF(OR(Zuladung="&lt;700 kg", Zuladung="keine Anforderung"), maxkWh_700kg, IF(Zuladung="700 - &lt;1000 kg", maxkWh_1000kg, maxkWh_größer1000kg))), IF(Antriebsart1="Plug-in-Hybrid (PHEV)", max_Verbrauch_PHEV_kWh, 1000))</formula>
    </cfRule>
  </conditionalFormatting>
  <conditionalFormatting sqref="E18:E20">
    <cfRule type="expression" dxfId="59" priority="26">
      <formula>Antriebsart1="Vollelektrisch (BEV)"</formula>
    </cfRule>
  </conditionalFormatting>
  <conditionalFormatting sqref="E22">
    <cfRule type="expression" dxfId="58" priority="31">
      <formula>AND(Antriebsart1&lt;&gt;"Vollelektrisch (BEV)",Antriebsart1&lt;&gt;"Plug-In-Hybrid (PHEV)")</formula>
    </cfRule>
  </conditionalFormatting>
  <conditionalFormatting sqref="E15">
    <cfRule type="expression" dxfId="57" priority="30">
      <formula>FinArt&lt;&gt;"Leasing"</formula>
    </cfRule>
  </conditionalFormatting>
  <conditionalFormatting sqref="E16">
    <cfRule type="expression" dxfId="56" priority="9">
      <formula>Antriebsart1="Vollelektrisch (BEV)"</formula>
    </cfRule>
    <cfRule type="cellIs" dxfId="55" priority="29" operator="greaterThan">
      <formula>IF(Antriebsart1="Verbrenner", max_Verbrauch_Verbrenner, IF(Antriebsart1="Plug-in-Hybrid (PHEV)", max_Verbrauch_PHEV_l, 1000))</formula>
    </cfRule>
  </conditionalFormatting>
  <conditionalFormatting sqref="E21">
    <cfRule type="expression" dxfId="54" priority="27">
      <formula>Antriebsart1&lt;&gt;"Plug-In-Hybrid (PHEV)"</formula>
    </cfRule>
  </conditionalFormatting>
  <conditionalFormatting sqref="E18">
    <cfRule type="cellIs" dxfId="53" priority="34" operator="greaterThan">
      <formula>IF(Antriebsart1="Plug-in-Hybrid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19">
    <cfRule type="cellIs" dxfId="52" priority="33" operator="greaterThan">
      <formula>IF(Fahrzeugklasse1=N1I, maxNOX_N1I, IF(Fahrzeugklasse1=N1II, maxNOX_N1II, maxNOX_N1III))</formula>
    </cfRule>
  </conditionalFormatting>
  <conditionalFormatting sqref="E20">
    <cfRule type="cellIs" dxfId="51" priority="32" operator="greaterThan">
      <formula>maxPM</formula>
    </cfRule>
  </conditionalFormatting>
  <conditionalFormatting sqref="E8">
    <cfRule type="expression" dxfId="50" priority="25">
      <formula>E$23=1</formula>
    </cfRule>
  </conditionalFormatting>
  <conditionalFormatting sqref="C14:D14">
    <cfRule type="expression" dxfId="49" priority="22">
      <formula>ISBLANK(FinArt)</formula>
    </cfRule>
  </conditionalFormatting>
  <conditionalFormatting sqref="I18">
    <cfRule type="cellIs" dxfId="48" priority="49" operator="greaterThan">
      <formula>IF(Antriebsart5="Plug-in-Hybrid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G18">
    <cfRule type="cellIs" dxfId="47" priority="51" operator="greaterThan">
      <formula>IF(Antriebsart3="Plug-in-Hybrid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F18">
    <cfRule type="cellIs" dxfId="46" priority="54" operator="greaterThan">
      <formula>IF(Antriebsart2="Plug-in-Hybrid (PHEV)", maxCO2PHEV, IF(Laderaum="Höhe ≥ 1,4 m oder Länge ≥ 3,0 m", maxCO2_Laderaum, IF(OR(Zuladung="&lt;700 kg", Zuladung="keine Anforderung"), maxCO2_700kg, IF(Zuladung="700 - &lt;1000 kg", maxCO2_1000kg, IF(Zuladung="1000 - &lt;1300 kg", maxCO2_1300kg, maxCO2_größer1300kg)))))</formula>
    </cfRule>
  </conditionalFormatting>
  <conditionalFormatting sqref="E25:I25">
    <cfRule type="expression" dxfId="45" priority="14">
      <formula>ISBLANK($C$25)</formula>
    </cfRule>
  </conditionalFormatting>
  <conditionalFormatting sqref="E26:I26">
    <cfRule type="expression" dxfId="44" priority="12">
      <formula>ISBLANK($C$26)</formula>
    </cfRule>
  </conditionalFormatting>
  <conditionalFormatting sqref="E27:I27">
    <cfRule type="expression" dxfId="43" priority="11">
      <formula>ISBLANK($C$27)</formula>
    </cfRule>
  </conditionalFormatting>
  <conditionalFormatting sqref="G19">
    <cfRule type="cellIs" dxfId="42" priority="16" operator="greaterThan">
      <formula>IF(Fahrzeugklasse3=N1I, maxNOX_N1I, IF(Fahrzeugklasse3=N1II, maxNOX_N1II, maxNOX_N1III))</formula>
    </cfRule>
  </conditionalFormatting>
  <conditionalFormatting sqref="H19">
    <cfRule type="cellIs" dxfId="41" priority="50" operator="greaterThan">
      <formula>IF(Fahrzeugklasse4=N1I, maxNOX_N1I, IF(Fahrzeugklasse4=N1II, maxNOX_N1II, maxNOX_N1III))</formula>
    </cfRule>
  </conditionalFormatting>
  <conditionalFormatting sqref="I19">
    <cfRule type="cellIs" dxfId="40" priority="17" operator="greaterThan">
      <formula>IF(Fahrzeugklasse5=N1I, maxNOX_N1I, IF(Fahrzeugklasse5=N1II, maxNOX_N1II, maxNOX_N1III))</formula>
    </cfRule>
  </conditionalFormatting>
  <dataValidations count="18">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NOx-Emissionen zu hoch" error="Das angebotene Fahrzeug überschreitet die maximalen NOx-Emissionen laut Beschaffungsvorschrift." sqref="I19" xr:uid="{00000000-0002-0000-0200-000007000000}">
      <formula1>IF(Fahrzeugklasse5=N1I, maxNOX_N1I, IF(Fahrzeugklasse5=N1II, maxNOX_N1II, maxNOX_N1III))</formula1>
    </dataValidation>
    <dataValidation type="decimal" errorStyle="warning" operator="lessThanOrEqual" allowBlank="1" showErrorMessage="1" errorTitle="Partikel-Emissionen zu hoch" error="Das angebotene Fahrzeug überschreitet die maximalen Partikel-Emissionen laut Beschaffungsvorschrift." sqref="E20:I20"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1:I21"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I16"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6"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6"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6"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6" xr:uid="{C9B36792-9EFA-48F3-9F2F-202D207D8A43}">
      <formula1>IF(Antriebsart1="Verbrenner", max_Verbrauch_Verbrenner, IF(Antriebsart1="Plug-in-Hybrid (PHEV)", max_Verbrauch_PHEV_l, 1000))</formula1>
    </dataValidation>
    <dataValidation type="decimal" errorStyle="warning" operator="lessThanOrEqual" allowBlank="1" showErrorMessage="1" errorTitle="NOx-Emissionen zu hoch" error="Das angebotene Fahrzeug überschreitet die maximalen NOx-Emissionen laut Beschaffungsvorschrift." sqref="E19" xr:uid="{1B613B25-CCA0-43EE-A411-A00280FE65FD}">
      <formula1>IF(Fahrzeugklasse1=N1I, maxNOX_N1I, IF(Fahrzeugklasse1=N1II,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F19" xr:uid="{7E06D477-89F5-46D0-91BF-6920FF3A689B}">
      <formula1>IF(Fahrzeugklasse2=N1I, maxNOX_N1I, IF(Fahrzeugklasse2=N1II,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G19" xr:uid="{C033488D-AB39-4BA5-939A-802C693478B7}">
      <formula1>IF(Fahrzeugklasse3=N1I, maxNOX_N1I, IF(Fahrzeugklasse3=N1II, maxNOX_N1II, maxNOX_N1III))</formula1>
    </dataValidation>
    <dataValidation type="decimal" errorStyle="warning" operator="lessThanOrEqual" allowBlank="1" showErrorMessage="1" errorTitle="NOx-Emissionen zu hoch" error="Das angebotene Fahrzeug überschreitet die maximalen NOx-Emissionen laut Beschaffungsvorschrift." sqref="H19" xr:uid="{683C324F-48F0-4546-8A92-DE0C3DED7667}">
      <formula1>IF(Fahrzeugklasse4=N1I, maxNOX_N1I, IF(Fahrzeugklasse4=N1II, maxNOX_N1II, maxNOX_N1III))</formula1>
    </dataValidation>
  </dataValidations>
  <hyperlinks>
    <hyperlink ref="K2" location="Anleitung!A1" display="zurück zu &quot;Anleitung&quot;" xr:uid="{00000000-0004-0000-0200-000000000000}"/>
    <hyperlink ref="E29:I29"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8:I28 E23:F2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3B2114D-B0EF-4F1C-9D9B-2D52989D83C3}">
          <x14:formula1>
            <xm:f>Listen!$B$41:$B$43</xm:f>
          </x14:formula1>
          <xm:sqref>E13:I13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444</v>
      </c>
      <c r="C1" s="118"/>
      <c r="D1" s="118"/>
      <c r="E1" s="118"/>
      <c r="F1" s="119"/>
      <c r="G1" s="119"/>
      <c r="H1" s="119"/>
    </row>
    <row r="2" spans="1:10" ht="14.4" x14ac:dyDescent="0.25">
      <c r="A2" s="97" t="s">
        <v>11</v>
      </c>
      <c r="B2" s="65" t="s">
        <v>421</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76</v>
      </c>
      <c r="C4" s="3"/>
      <c r="D4" s="3"/>
      <c r="E4" s="3"/>
      <c r="F4" s="3"/>
      <c r="G4" s="3"/>
      <c r="H4" s="3"/>
    </row>
    <row r="5" spans="1:10" x14ac:dyDescent="0.25">
      <c r="A5" s="18"/>
    </row>
    <row r="6" spans="1:10" ht="14.4" customHeight="1" x14ac:dyDescent="0.25">
      <c r="A6" s="18"/>
      <c r="B6" s="12" t="s">
        <v>433</v>
      </c>
      <c r="C6" s="438" t="str">
        <f>IF(Projektname=0,"",Projektname)</f>
        <v/>
      </c>
      <c r="D6" s="439"/>
      <c r="E6" s="439"/>
      <c r="F6" s="439"/>
      <c r="G6" s="439"/>
      <c r="H6" s="440"/>
    </row>
    <row r="7" spans="1:10" ht="14.4" customHeight="1" x14ac:dyDescent="0.25">
      <c r="A7" s="18"/>
      <c r="B7" s="12"/>
      <c r="C7" s="441"/>
      <c r="D7" s="442"/>
      <c r="E7" s="442"/>
      <c r="F7" s="442"/>
      <c r="G7" s="442"/>
      <c r="H7" s="443"/>
    </row>
    <row r="8" spans="1:10" ht="14.4" customHeight="1" x14ac:dyDescent="0.25">
      <c r="A8" s="18"/>
      <c r="B8" s="12"/>
      <c r="C8" s="444"/>
      <c r="D8" s="445"/>
      <c r="E8" s="445"/>
      <c r="F8" s="445"/>
      <c r="G8" s="445"/>
      <c r="H8" s="446"/>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34" t="str">
        <f>IF(Datum=0,"",Datum)</f>
        <v/>
      </c>
      <c r="D11" s="435"/>
      <c r="E11" s="79"/>
      <c r="F11" s="81"/>
      <c r="G11" s="81"/>
      <c r="H11" s="78"/>
    </row>
    <row r="12" spans="1:10" ht="14.4" x14ac:dyDescent="0.3">
      <c r="A12" s="18"/>
      <c r="B12" s="12"/>
      <c r="C12" s="76"/>
      <c r="E12" s="58" t="s">
        <v>419</v>
      </c>
      <c r="F12" s="85">
        <f>Fahrleistung</f>
        <v>0</v>
      </c>
      <c r="G12" s="86" t="s">
        <v>25</v>
      </c>
      <c r="H12" s="80"/>
    </row>
    <row r="13" spans="1:10" ht="14.4" x14ac:dyDescent="0.3">
      <c r="A13" s="18"/>
      <c r="B13" s="58"/>
      <c r="C13" s="77"/>
      <c r="E13" s="73" t="s">
        <v>28</v>
      </c>
      <c r="F13" s="87">
        <f>Haltedauer</f>
        <v>0</v>
      </c>
      <c r="G13" s="86" t="s">
        <v>29</v>
      </c>
      <c r="H13" s="80"/>
    </row>
    <row r="14" spans="1:10" x14ac:dyDescent="0.25">
      <c r="A14" s="18"/>
      <c r="B14" s="18"/>
      <c r="C14" s="18"/>
      <c r="D14" s="19"/>
      <c r="E14" s="19"/>
      <c r="F14" s="19"/>
      <c r="G14" s="19"/>
      <c r="H14" s="19"/>
    </row>
    <row r="15" spans="1:10" x14ac:dyDescent="0.25">
      <c r="A15" s="18"/>
      <c r="B15" s="292" t="s">
        <v>77</v>
      </c>
      <c r="C15" s="21"/>
      <c r="D15" s="21"/>
      <c r="E15" s="21"/>
      <c r="F15" s="21"/>
      <c r="G15" s="21"/>
      <c r="H15" s="22"/>
    </row>
    <row r="16" spans="1:10" x14ac:dyDescent="0.25">
      <c r="A16" s="18"/>
      <c r="B16" s="37" t="s">
        <v>41</v>
      </c>
      <c r="C16" s="23"/>
      <c r="D16" s="24">
        <v>1</v>
      </c>
      <c r="E16" s="24">
        <v>2</v>
      </c>
      <c r="F16" s="24">
        <v>3</v>
      </c>
      <c r="G16" s="24">
        <v>4</v>
      </c>
      <c r="H16" s="25">
        <v>5</v>
      </c>
    </row>
    <row r="17" spans="1:9" ht="78.75" customHeight="1" x14ac:dyDescent="0.25">
      <c r="A17" s="18"/>
      <c r="B17" s="38"/>
      <c r="C17" s="39"/>
      <c r="D17" s="40" t="str">
        <f>CONCATENATE(Erg.Fzg._1!$C$10," ",Erg.Fzg._1!$C$11," ",Erg.Fzg._1!$C$13," ",Erg.Fzg._1!$C$14)</f>
        <v xml:space="preserve">   </v>
      </c>
      <c r="E17" s="40" t="str">
        <f>CONCATENATE(Erg.Fzg._2!$C$10," ",Erg.Fzg._2!$C$11," ",Erg.Fzg._2!$C$13," ",Erg.Fzg._2!$C$14)</f>
        <v xml:space="preserve">   </v>
      </c>
      <c r="F17" s="40" t="str">
        <f>CONCATENATE(Erg.Fzg._3!$C$10," ",Erg.Fzg._3!$C$11," ",Erg.Fzg._3!$C$13," ",Erg.Fzg._3!$C$14)</f>
        <v xml:space="preserve">   </v>
      </c>
      <c r="G17" s="40" t="str">
        <f>CONCATENATE(Erg.Fzg._4!$C$10," ",Erg.Fzg._4!$C$11," ",Erg.Fzg._4!$C$13," ",Erg.Fzg._4!$C$14)</f>
        <v xml:space="preserve">   </v>
      </c>
      <c r="H17" s="26" t="str">
        <f>CONCATENATE(Erg.Fzg._5!$C$10," ",Erg.Fzg._5!$C$11," ",Erg.Fzg._5!$C$13," ",Erg.Fzg._5!$C$14)</f>
        <v xml:space="preserve">   </v>
      </c>
    </row>
    <row r="18" spans="1:9" x14ac:dyDescent="0.25">
      <c r="A18" s="18"/>
      <c r="B18" s="177" t="s">
        <v>78</v>
      </c>
      <c r="C18" s="178" t="s">
        <v>57</v>
      </c>
      <c r="D18" s="179" t="str">
        <f>IF(FinArt="Kauf",Gesamtpreis1,"")</f>
        <v/>
      </c>
      <c r="E18" s="179" t="str">
        <f>IF(FinArt="Kauf",Gesamtpreis2,"")</f>
        <v/>
      </c>
      <c r="F18" s="179" t="str">
        <f>IF(FinArt="Kauf",Gesamtpreis3,"")</f>
        <v/>
      </c>
      <c r="G18" s="179" t="str">
        <f>IF(FinArt="Kauf",Gesamtpreis4,"")</f>
        <v/>
      </c>
      <c r="H18" s="180" t="str">
        <f>IF(FinArt="Kauf",Gesamtpreis5,"")</f>
        <v/>
      </c>
      <c r="I18" s="107"/>
    </row>
    <row r="19" spans="1:9" ht="14.4" x14ac:dyDescent="0.25">
      <c r="A19" s="320" t="s">
        <v>11</v>
      </c>
      <c r="B19" s="337" t="str">
        <f>IF(FinArt="Kauf",KaufpreisRech,"Fahrzeugkosten (Leasingrate/Miete)")</f>
        <v>Fahrzeugkosten (Leasingrate/Miete)</v>
      </c>
      <c r="C19" s="18" t="s">
        <v>57</v>
      </c>
      <c r="D19" s="41">
        <f>Erg.Fzg._1!$C$54+Erg.Fzg._1!$C$55</f>
        <v>0</v>
      </c>
      <c r="E19" s="41">
        <f>Erg.Fzg._2!$C$54+Erg.Fzg._2!$C$55</f>
        <v>0</v>
      </c>
      <c r="F19" s="41">
        <f>Erg.Fzg._3!$C$54+Erg.Fzg._3!$C$55</f>
        <v>0</v>
      </c>
      <c r="G19" s="41">
        <f>Erg.Fzg._4!$C$54+Erg.Fzg._4!$C$55</f>
        <v>0</v>
      </c>
      <c r="H19" s="336">
        <f>Erg.Fzg._5!$C$54+Erg.Fzg._5!$C$55</f>
        <v>0</v>
      </c>
    </row>
    <row r="20" spans="1:9" x14ac:dyDescent="0.25">
      <c r="A20" s="335"/>
      <c r="B20" s="45" t="s">
        <v>79</v>
      </c>
      <c r="C20" s="18" t="s">
        <v>57</v>
      </c>
      <c r="D20" s="41">
        <f>Erg.Fzg._1!$C$56</f>
        <v>0</v>
      </c>
      <c r="E20" s="41">
        <f>Erg.Fzg._2!$C$56</f>
        <v>0</v>
      </c>
      <c r="F20" s="41">
        <f>Erg.Fzg._3!$C$56</f>
        <v>0</v>
      </c>
      <c r="G20" s="41">
        <f>Erg.Fzg._4!$C$56</f>
        <v>0</v>
      </c>
      <c r="H20" s="42">
        <f>Erg.Fzg._5!$C$56</f>
        <v>0</v>
      </c>
    </row>
    <row r="21" spans="1:9" x14ac:dyDescent="0.25">
      <c r="A21" s="436" t="s">
        <v>11</v>
      </c>
      <c r="B21" s="27" t="s">
        <v>80</v>
      </c>
      <c r="C21" s="28" t="s">
        <v>57</v>
      </c>
      <c r="D21" s="43">
        <f>Erg.Fzg._1!$C$57</f>
        <v>0</v>
      </c>
      <c r="E21" s="43">
        <f>Erg.Fzg._2!$C$57</f>
        <v>0</v>
      </c>
      <c r="F21" s="43">
        <f>Erg.Fzg._3!$C$57</f>
        <v>0</v>
      </c>
      <c r="G21" s="43">
        <f>Erg.Fzg._4!$C$57</f>
        <v>0</v>
      </c>
      <c r="H21" s="44">
        <f>Erg.Fzg._5!$C$57</f>
        <v>0</v>
      </c>
    </row>
    <row r="22" spans="1:9" ht="14.4" customHeight="1" x14ac:dyDescent="0.25">
      <c r="A22" s="436"/>
      <c r="B22" s="27" t="s">
        <v>81</v>
      </c>
      <c r="C22" s="28" t="s">
        <v>57</v>
      </c>
      <c r="D22" s="43">
        <f>Erg.Fzg._1!C41*Haltedauer</f>
        <v>0</v>
      </c>
      <c r="E22" s="43">
        <f>Erg.Fzg._2!C41*Haltedauer</f>
        <v>0</v>
      </c>
      <c r="F22" s="43">
        <f>Erg.Fzg._3!C41*Haltedauer</f>
        <v>0</v>
      </c>
      <c r="G22" s="43">
        <f>Erg.Fzg._4!C41*Haltedauer</f>
        <v>0</v>
      </c>
      <c r="H22" s="44">
        <f>Erg.Fzg._5!C41*Haltedauer</f>
        <v>0</v>
      </c>
      <c r="I22" s="107"/>
    </row>
    <row r="23" spans="1:9" x14ac:dyDescent="0.25">
      <c r="A23" s="437"/>
      <c r="B23" s="45" t="s">
        <v>82</v>
      </c>
      <c r="C23" s="324" t="s">
        <v>57</v>
      </c>
      <c r="D23" s="325" t="e">
        <f>Erg.Fzg._1!$C$59</f>
        <v>#DIV/0!</v>
      </c>
      <c r="E23" s="325" t="e">
        <f>Erg.Fzg._2!$C$59</f>
        <v>#DIV/0!</v>
      </c>
      <c r="F23" s="325" t="e">
        <f>Erg.Fzg._3!$C$59</f>
        <v>#DIV/0!</v>
      </c>
      <c r="G23" s="325" t="e">
        <f>Erg.Fzg._4!$C$59</f>
        <v>#DIV/0!</v>
      </c>
      <c r="H23" s="42" t="e">
        <f>Erg.Fzg._5!$C$59</f>
        <v>#DIV/0!</v>
      </c>
    </row>
    <row r="24" spans="1:9" x14ac:dyDescent="0.25">
      <c r="A24" s="436" t="s">
        <v>11</v>
      </c>
      <c r="B24" s="331" t="str">
        <f>IF(ISBLANK(Zusatzangabe_x), "", Zusatzangabe_x)</f>
        <v/>
      </c>
      <c r="C24" s="322" t="str">
        <f>IF(ISBLANK(Zusatzangabe_x), "", "EUR")</f>
        <v/>
      </c>
      <c r="D24" s="323" t="str">
        <f>Erg.Fzg._1!$C$60</f>
        <v/>
      </c>
      <c r="E24" s="323" t="str">
        <f>Erg.Fzg._2!$C$60</f>
        <v/>
      </c>
      <c r="F24" s="323" t="str">
        <f>Erg.Fzg._3!$C$60</f>
        <v/>
      </c>
      <c r="G24" s="323" t="str">
        <f>Erg.Fzg._4!$C$60</f>
        <v/>
      </c>
      <c r="H24" s="42" t="str">
        <f>Erg.Fzg._5!$C$60</f>
        <v/>
      </c>
    </row>
    <row r="25" spans="1:9" x14ac:dyDescent="0.25">
      <c r="A25" s="436"/>
      <c r="B25" s="331" t="str">
        <f>IF(ISBLANK(Zusatzangabe_y), "", Zusatzangabe_y)</f>
        <v/>
      </c>
      <c r="C25" s="322" t="str">
        <f>IF(ISBLANK(Zusatzangabe_y), "", "EUR")</f>
        <v/>
      </c>
      <c r="D25" s="323" t="str">
        <f>Erg.Fzg._1!$C$61</f>
        <v/>
      </c>
      <c r="E25" s="323" t="str">
        <f>Erg.Fzg._2!$C$61</f>
        <v/>
      </c>
      <c r="F25" s="323" t="str">
        <f>Erg.Fzg._3!$C$61</f>
        <v/>
      </c>
      <c r="G25" s="323" t="str">
        <f>Erg.Fzg._4!$C$61</f>
        <v/>
      </c>
      <c r="H25" s="42" t="str">
        <f>Erg.Fzg._5!$C$61</f>
        <v/>
      </c>
      <c r="I25" s="6"/>
    </row>
    <row r="26" spans="1:9" x14ac:dyDescent="0.25">
      <c r="A26" s="436"/>
      <c r="B26" s="331" t="str">
        <f>IF(ISBLANK(Zusatzangabe_z), "", Zusatzangabe_z)</f>
        <v/>
      </c>
      <c r="C26" s="322" t="str">
        <f>IF(ISBLANK(Zusatzangabe_z), "", "EUR")</f>
        <v/>
      </c>
      <c r="D26" s="323" t="str">
        <f>Erg.Fzg._1!$C$62</f>
        <v/>
      </c>
      <c r="E26" s="323" t="str">
        <f>Erg.Fzg._2!$C$62</f>
        <v/>
      </c>
      <c r="F26" s="323" t="str">
        <f>Erg.Fzg._3!$C$62</f>
        <v/>
      </c>
      <c r="G26" s="323" t="str">
        <f>Erg.Fzg._4!$C$62</f>
        <v/>
      </c>
      <c r="H26" s="48" t="str">
        <f>Erg.Fzg._5!$C$62</f>
        <v/>
      </c>
    </row>
    <row r="27" spans="1:9" ht="14.4" thickBot="1" x14ac:dyDescent="0.3">
      <c r="A27" s="18"/>
      <c r="B27" s="49" t="s">
        <v>83</v>
      </c>
      <c r="C27" s="50" t="s">
        <v>57</v>
      </c>
      <c r="D27" s="51" t="e">
        <f>IF(SUM(D19:D26)=0,"",SUM(D19:D26))</f>
        <v>#DIV/0!</v>
      </c>
      <c r="E27" s="51" t="e">
        <f t="shared" ref="E27:G27" si="0">IF(SUM(E19:E26)=0,"",SUM(E19:E26))</f>
        <v>#DIV/0!</v>
      </c>
      <c r="F27" s="51" t="e">
        <f t="shared" si="0"/>
        <v>#DIV/0!</v>
      </c>
      <c r="G27" s="51" t="e">
        <f t="shared" si="0"/>
        <v>#DIV/0!</v>
      </c>
      <c r="H27" s="52" t="e">
        <f>IF(SUM(H19:H26)=0,"",SUM(H19:H26))</f>
        <v>#DIV/0!</v>
      </c>
    </row>
    <row r="28" spans="1:9" ht="15" thickTop="1" thickBot="1" x14ac:dyDescent="0.3">
      <c r="A28" s="18"/>
      <c r="B28" s="75" t="s">
        <v>84</v>
      </c>
      <c r="C28" s="50"/>
      <c r="D28" s="51" t="str">
        <f t="shared" ref="D28:F28" si="1">IFERROR(_xlfn.RANK.EQ(D27,$D$27:$H$27,1),"")</f>
        <v/>
      </c>
      <c r="E28" s="51" t="str">
        <f t="shared" si="1"/>
        <v/>
      </c>
      <c r="F28" s="51" t="str">
        <f t="shared" si="1"/>
        <v/>
      </c>
      <c r="G28" s="51" t="str">
        <f>IFERROR(_xlfn.RANK.EQ(G27,$D$27:$H$27,1),"")</f>
        <v/>
      </c>
      <c r="H28" s="52" t="str">
        <f>IFERROR(_xlfn.RANK.EQ(H27,$D$27:$H$27,1),"")</f>
        <v/>
      </c>
      <c r="I28" s="107"/>
    </row>
    <row r="29" spans="1:9" ht="20.399999999999999" customHeight="1" thickTop="1" x14ac:dyDescent="0.25">
      <c r="A29" s="18"/>
      <c r="B29" s="108" t="s">
        <v>85</v>
      </c>
      <c r="C29" s="66" t="s">
        <v>73</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SUM(D29:H29)+Eingabe_Angebotswerte!J23+Eingabe_Angebotswerte!J28</f>
        <v>0</v>
      </c>
    </row>
    <row r="30" spans="1:9" ht="25.95" customHeight="1" x14ac:dyDescent="0.25">
      <c r="A30" s="33"/>
      <c r="B30" s="34" t="s">
        <v>86</v>
      </c>
      <c r="C30" s="315" t="s">
        <v>87</v>
      </c>
      <c r="D30" s="313" t="e">
        <f>Erg.Fzg._1!$C$65</f>
        <v>#DIV/0!</v>
      </c>
      <c r="E30" s="313" t="e">
        <f>Erg.Fzg._2!$C$65</f>
        <v>#DIV/0!</v>
      </c>
      <c r="F30" s="313" t="e">
        <f>Erg.Fzg._3!$C$65</f>
        <v>#DIV/0!</v>
      </c>
      <c r="G30" s="313" t="e">
        <f>Erg.Fzg._4!$C$65</f>
        <v>#DIV/0!</v>
      </c>
      <c r="H30" s="314" t="e">
        <f>Erg.Fzg._5!$C$65</f>
        <v>#DIV/0!</v>
      </c>
    </row>
    <row r="31" spans="1:9" ht="27" customHeight="1" x14ac:dyDescent="0.25">
      <c r="A31" s="308"/>
      <c r="B31" s="98" t="s">
        <v>443</v>
      </c>
      <c r="C31" s="316" t="s">
        <v>87</v>
      </c>
      <c r="D31" s="317">
        <f>Erg.Fzg._1!$C$66</f>
        <v>0</v>
      </c>
      <c r="E31" s="317">
        <f>Erg.Fzg._2!$C$66</f>
        <v>0</v>
      </c>
      <c r="F31" s="317">
        <f>Erg.Fzg._3!$C$66</f>
        <v>0</v>
      </c>
      <c r="G31" s="317">
        <f>Erg.Fzg._4!$C$66</f>
        <v>0</v>
      </c>
      <c r="H31" s="318">
        <f>Erg.Fzg._5!$C$66</f>
        <v>0</v>
      </c>
      <c r="I31" s="91"/>
    </row>
    <row r="32" spans="1:9" ht="14.4" customHeight="1" x14ac:dyDescent="0.25">
      <c r="A32" s="308"/>
      <c r="B32" s="309" t="s">
        <v>432</v>
      </c>
      <c r="C32" s="310" t="s">
        <v>431</v>
      </c>
      <c r="D32" s="311" t="e">
        <f>SUM(D30:D31)</f>
        <v>#DIV/0!</v>
      </c>
      <c r="E32" s="311" t="e">
        <f t="shared" ref="E32:H32" si="2">SUM(E30:E31)</f>
        <v>#DIV/0!</v>
      </c>
      <c r="F32" s="311" t="e">
        <f t="shared" si="2"/>
        <v>#DIV/0!</v>
      </c>
      <c r="G32" s="311" t="e">
        <f t="shared" si="2"/>
        <v>#DIV/0!</v>
      </c>
      <c r="H32" s="312" t="e">
        <f t="shared" si="2"/>
        <v>#DIV/0!</v>
      </c>
      <c r="I32" s="91"/>
    </row>
    <row r="34" spans="2:9" x14ac:dyDescent="0.25">
      <c r="B34" s="292" t="s">
        <v>91</v>
      </c>
      <c r="C34" s="21"/>
      <c r="D34" s="21"/>
      <c r="E34" s="21"/>
      <c r="F34" s="21"/>
      <c r="G34" s="21"/>
      <c r="H34" s="22"/>
    </row>
    <row r="35" spans="2:9" ht="363.6" customHeight="1" x14ac:dyDescent="0.25">
      <c r="B35" s="6"/>
      <c r="D35" s="10"/>
      <c r="E35" s="10"/>
      <c r="F35" s="10"/>
      <c r="G35" s="10"/>
      <c r="H35" s="100"/>
      <c r="I35" s="109"/>
    </row>
    <row r="36" spans="2:9" ht="15" customHeight="1" x14ac:dyDescent="0.25">
      <c r="B36" s="120" t="str">
        <f>D28</f>
        <v/>
      </c>
      <c r="C36" s="121" t="str">
        <f>E28</f>
        <v/>
      </c>
      <c r="D36" s="123" t="str">
        <f>F28</f>
        <v/>
      </c>
      <c r="E36" s="123"/>
      <c r="F36" s="122" t="str">
        <f>G28</f>
        <v/>
      </c>
      <c r="G36" s="123" t="str">
        <f>H28</f>
        <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444</v>
      </c>
      <c r="C1" s="118"/>
      <c r="D1" s="118"/>
      <c r="E1" s="118"/>
      <c r="F1" s="119"/>
      <c r="G1" s="119"/>
      <c r="H1" s="119"/>
    </row>
    <row r="2" spans="1:10" ht="14.4" x14ac:dyDescent="0.25">
      <c r="A2" s="319" t="s">
        <v>11</v>
      </c>
      <c r="B2" s="65" t="s">
        <v>422</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76</v>
      </c>
      <c r="C4" s="3"/>
      <c r="D4" s="3"/>
      <c r="E4" s="3"/>
      <c r="F4" s="3"/>
      <c r="G4" s="3"/>
      <c r="H4" s="3"/>
    </row>
    <row r="5" spans="1:10" x14ac:dyDescent="0.25">
      <c r="A5" s="18"/>
    </row>
    <row r="6" spans="1:10" ht="14.4" customHeight="1" x14ac:dyDescent="0.25">
      <c r="A6" s="18"/>
      <c r="B6" s="12" t="s">
        <v>433</v>
      </c>
      <c r="C6" s="438" t="str">
        <f>IF(Projektname=0,"",Projektname)</f>
        <v/>
      </c>
      <c r="D6" s="439"/>
      <c r="E6" s="439"/>
      <c r="F6" s="439"/>
      <c r="G6" s="439"/>
      <c r="H6" s="440"/>
    </row>
    <row r="7" spans="1:10" ht="14.4" customHeight="1" x14ac:dyDescent="0.25">
      <c r="A7" s="18"/>
      <c r="B7" s="12"/>
      <c r="C7" s="441"/>
      <c r="D7" s="442"/>
      <c r="E7" s="442"/>
      <c r="F7" s="442"/>
      <c r="G7" s="442"/>
      <c r="H7" s="443"/>
    </row>
    <row r="8" spans="1:10" ht="14.4" customHeight="1" x14ac:dyDescent="0.25">
      <c r="A8" s="18"/>
      <c r="B8" s="12"/>
      <c r="C8" s="444"/>
      <c r="D8" s="445"/>
      <c r="E8" s="445"/>
      <c r="F8" s="445"/>
      <c r="G8" s="445"/>
      <c r="H8" s="446"/>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34" t="str">
        <f>IF(Datum=0,"",Datum)</f>
        <v/>
      </c>
      <c r="D11" s="435"/>
      <c r="E11" s="79"/>
      <c r="F11" s="81"/>
      <c r="G11" s="81"/>
      <c r="H11" s="78"/>
    </row>
    <row r="12" spans="1:10" ht="14.4" x14ac:dyDescent="0.3">
      <c r="A12" s="18"/>
      <c r="B12" s="12"/>
      <c r="C12" s="76"/>
      <c r="E12" s="58" t="s">
        <v>419</v>
      </c>
      <c r="F12" s="85">
        <f>Fahrleistung</f>
        <v>0</v>
      </c>
      <c r="G12" s="86" t="s">
        <v>25</v>
      </c>
      <c r="H12" s="80"/>
    </row>
    <row r="13" spans="1:10" ht="14.4" x14ac:dyDescent="0.3">
      <c r="A13" s="18"/>
      <c r="B13" s="58"/>
      <c r="C13" s="77"/>
      <c r="E13" s="73" t="s">
        <v>28</v>
      </c>
      <c r="F13" s="87">
        <f>Haltedauer</f>
        <v>0</v>
      </c>
      <c r="G13" s="86" t="s">
        <v>29</v>
      </c>
      <c r="H13" s="80"/>
    </row>
    <row r="14" spans="1:10" x14ac:dyDescent="0.25">
      <c r="A14" s="18"/>
      <c r="B14" s="18"/>
      <c r="C14" s="18"/>
      <c r="D14" s="19"/>
      <c r="E14" s="19"/>
      <c r="F14" s="19"/>
      <c r="G14" s="19"/>
      <c r="H14" s="19"/>
    </row>
    <row r="15" spans="1:10" x14ac:dyDescent="0.25">
      <c r="A15" s="18"/>
      <c r="B15" s="292" t="s">
        <v>423</v>
      </c>
      <c r="C15" s="21"/>
      <c r="D15" s="21"/>
      <c r="E15" s="21"/>
      <c r="F15" s="21"/>
      <c r="G15" s="21"/>
      <c r="H15" s="22"/>
    </row>
    <row r="16" spans="1:10" x14ac:dyDescent="0.25">
      <c r="A16" s="18"/>
      <c r="B16" s="37" t="s">
        <v>41</v>
      </c>
      <c r="C16" s="23"/>
      <c r="D16" s="24">
        <v>1</v>
      </c>
      <c r="E16" s="24">
        <v>2</v>
      </c>
      <c r="F16" s="24">
        <v>3</v>
      </c>
      <c r="G16" s="24">
        <v>4</v>
      </c>
      <c r="H16" s="25">
        <v>5</v>
      </c>
    </row>
    <row r="17" spans="1:9" ht="54.6" customHeight="1" x14ac:dyDescent="0.25">
      <c r="A17" s="18"/>
      <c r="B17" s="38"/>
      <c r="C17" s="39"/>
      <c r="D17" s="148" t="str">
        <f>CONCATENATE(Erg.Fzg._1!$C$10," ",Erg.Fzg._1!$C$11," ",Erg.Fzg._1!$C$13," ",Erg.Fzg._1!$C$14)</f>
        <v xml:space="preserve">   </v>
      </c>
      <c r="E17" s="148" t="str">
        <f>CONCATENATE(Erg.Fzg._2!$C$10," ",Erg.Fzg._2!$C$11," ",Erg.Fzg._2!$C$13," ",Erg.Fzg._2!$C$14)</f>
        <v xml:space="preserve">   </v>
      </c>
      <c r="F17" s="148" t="str">
        <f>CONCATENATE(Erg.Fzg._3!$C$10," ",Erg.Fzg._3!$C$11," ",Erg.Fzg._3!$C$13," ",Erg.Fzg._3!$C$14)</f>
        <v xml:space="preserve">   </v>
      </c>
      <c r="G17" s="148" t="str">
        <f>CONCATENATE(Erg.Fzg._4!$C$10," ",Erg.Fzg._4!$C$11," ",Erg.Fzg._4!$C$13," ",Erg.Fzg._4!$C$14)</f>
        <v xml:space="preserve">   </v>
      </c>
      <c r="H17" s="149" t="str">
        <f>CONCATENATE(Erg.Fzg._5!$C$10," ",Erg.Fzg._5!$C$11," ",Erg.Fzg._5!$C$13," ",Erg.Fzg._5!$C$14)</f>
        <v xml:space="preserve">   </v>
      </c>
    </row>
    <row r="18" spans="1:9" x14ac:dyDescent="0.25">
      <c r="A18" s="436" t="s">
        <v>11</v>
      </c>
      <c r="B18" s="27" t="s">
        <v>89</v>
      </c>
      <c r="C18" s="28" t="s">
        <v>57</v>
      </c>
      <c r="D18" s="43">
        <f>Erg.Fzg._1!$C$57-D19</f>
        <v>0</v>
      </c>
      <c r="E18" s="43">
        <f>Erg.Fzg._2!$C$57-E19</f>
        <v>0</v>
      </c>
      <c r="F18" s="43">
        <f>Erg.Fzg._3!$C$57-F19</f>
        <v>0</v>
      </c>
      <c r="G18" s="43">
        <f>Erg.Fzg._4!$C$57-G19</f>
        <v>0</v>
      </c>
      <c r="H18" s="44">
        <f>Erg.Fzg._5!$C$57-H19</f>
        <v>0</v>
      </c>
    </row>
    <row r="19" spans="1:9" x14ac:dyDescent="0.25">
      <c r="A19" s="436"/>
      <c r="B19" s="27" t="s">
        <v>90</v>
      </c>
      <c r="C19" s="28" t="s">
        <v>57</v>
      </c>
      <c r="D19" s="43">
        <f>(Erg.Fzg._1!$C$35+Erg.Fzg._1!$C$36)*Haltedauer</f>
        <v>0</v>
      </c>
      <c r="E19" s="43">
        <f>(Erg.Fzg._2!$C$35+Erg.Fzg._2!$C$36)*Haltedauer</f>
        <v>0</v>
      </c>
      <c r="F19" s="43">
        <f>(Erg.Fzg._3!$C$35+Erg.Fzg._3!$C$36)*Haltedauer</f>
        <v>0</v>
      </c>
      <c r="G19" s="43">
        <f>(Erg.Fzg._4!$C$35+Erg.Fzg._4!$C$36)*Haltedauer</f>
        <v>0</v>
      </c>
      <c r="H19" s="44">
        <f>(Erg.Fzg._5!$C$35+Erg.Fzg._5!$C$36)*Haltedauer</f>
        <v>0</v>
      </c>
    </row>
    <row r="20" spans="1:9" ht="14.4" customHeight="1" x14ac:dyDescent="0.25">
      <c r="A20" s="436"/>
      <c r="B20" s="27" t="s">
        <v>81</v>
      </c>
      <c r="C20" s="28" t="s">
        <v>57</v>
      </c>
      <c r="D20" s="43">
        <f>Erg.Fzg._1!C41*Haltedauer</f>
        <v>0</v>
      </c>
      <c r="E20" s="43">
        <f>Erg.Fzg._2!C41*Haltedauer</f>
        <v>0</v>
      </c>
      <c r="F20" s="43">
        <f>Erg.Fzg._3!C41*Haltedauer</f>
        <v>0</v>
      </c>
      <c r="G20" s="43">
        <f>Erg.Fzg._4!C41*Haltedauer</f>
        <v>0</v>
      </c>
      <c r="H20" s="44">
        <f>Erg.Fzg._5!C41*Haltedauer</f>
        <v>0</v>
      </c>
      <c r="I20" s="107"/>
    </row>
    <row r="21" spans="1:9" x14ac:dyDescent="0.25">
      <c r="A21" s="436"/>
      <c r="B21" s="29" t="s">
        <v>82</v>
      </c>
      <c r="C21" s="46" t="s">
        <v>57</v>
      </c>
      <c r="D21" s="47" t="e">
        <f>Erg.Fzg._1!$C$59</f>
        <v>#DIV/0!</v>
      </c>
      <c r="E21" s="47" t="e">
        <f>Erg.Fzg._2!$C$59</f>
        <v>#DIV/0!</v>
      </c>
      <c r="F21" s="47" t="e">
        <f>Erg.Fzg._3!$C$59</f>
        <v>#DIV/0!</v>
      </c>
      <c r="G21" s="47" t="e">
        <f>Erg.Fzg._4!$C$59</f>
        <v>#DIV/0!</v>
      </c>
      <c r="H21" s="48" t="e">
        <f>Erg.Fzg._5!$C$59</f>
        <v>#DIV/0!</v>
      </c>
    </row>
    <row r="22" spans="1:9" ht="14.4" thickBot="1" x14ac:dyDescent="0.3">
      <c r="A22" s="18"/>
      <c r="B22" s="49" t="s">
        <v>83</v>
      </c>
      <c r="C22" s="50" t="s">
        <v>57</v>
      </c>
      <c r="D22" s="51" t="e">
        <f>IF(SUM(D18:D21)=0,"",SUM(D18:D21))</f>
        <v>#DIV/0!</v>
      </c>
      <c r="E22" s="51" t="e">
        <f t="shared" ref="E22:H22" si="0">IF(SUM(E18:E21)=0,"",SUM(E18:E21))</f>
        <v>#DIV/0!</v>
      </c>
      <c r="F22" s="51" t="e">
        <f t="shared" si="0"/>
        <v>#DIV/0!</v>
      </c>
      <c r="G22" s="51" t="e">
        <f t="shared" si="0"/>
        <v>#DIV/0!</v>
      </c>
      <c r="H22" s="52" t="e">
        <f t="shared" si="0"/>
        <v>#DIV/0!</v>
      </c>
    </row>
    <row r="23" spans="1:9" ht="15" thickTop="1" thickBot="1" x14ac:dyDescent="0.3">
      <c r="A23" s="18"/>
      <c r="B23" s="75" t="s">
        <v>84</v>
      </c>
      <c r="C23" s="50"/>
      <c r="D23" s="51" t="str">
        <f>IFERROR(_xlfn.RANK.EQ(D22,$D$22:$H$22,1),"")</f>
        <v/>
      </c>
      <c r="E23" s="51" t="str">
        <f t="shared" ref="E23:H23" si="1">IFERROR(_xlfn.RANK.EQ(E22,$D$22:$H$22,1),"")</f>
        <v/>
      </c>
      <c r="F23" s="51" t="str">
        <f t="shared" si="1"/>
        <v/>
      </c>
      <c r="G23" s="51" t="str">
        <f t="shared" si="1"/>
        <v/>
      </c>
      <c r="H23" s="52" t="str">
        <f t="shared" si="1"/>
        <v/>
      </c>
      <c r="I23" s="107"/>
    </row>
    <row r="24" spans="1:9" ht="20.399999999999999" customHeight="1" thickTop="1" x14ac:dyDescent="0.25">
      <c r="A24" s="18"/>
      <c r="B24" s="108" t="s">
        <v>85</v>
      </c>
      <c r="C24" s="66" t="s">
        <v>73</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SUM(D24:H24)+Eingabe_Angebotswerte!J28</f>
        <v>0</v>
      </c>
    </row>
    <row r="25" spans="1:9" ht="25.95" customHeight="1" x14ac:dyDescent="0.25">
      <c r="A25" s="33"/>
      <c r="B25" s="34" t="s">
        <v>86</v>
      </c>
      <c r="C25" s="31" t="s">
        <v>87</v>
      </c>
      <c r="D25" s="32" t="e">
        <f>Erg.Fzg._1!$C$65</f>
        <v>#DIV/0!</v>
      </c>
      <c r="E25" s="32" t="e">
        <f>Erg.Fzg._2!$C$65</f>
        <v>#DIV/0!</v>
      </c>
      <c r="F25" s="32" t="e">
        <f>Erg.Fzg._3!$C$65</f>
        <v>#DIV/0!</v>
      </c>
      <c r="G25" s="32" t="e">
        <f>Erg.Fzg._4!$C$65</f>
        <v>#DIV/0!</v>
      </c>
      <c r="H25" s="53" t="e">
        <f>Erg.Fzg._5!$C$65</f>
        <v>#DIV/0!</v>
      </c>
    </row>
    <row r="26" spans="1:9" ht="27" customHeight="1" x14ac:dyDescent="0.25">
      <c r="A26" s="33"/>
      <c r="B26" s="98" t="s">
        <v>443</v>
      </c>
      <c r="C26" s="99" t="s">
        <v>87</v>
      </c>
      <c r="D26" s="35">
        <f>Erg.Fzg._1!$C$66</f>
        <v>0</v>
      </c>
      <c r="E26" s="35">
        <f>Erg.Fzg._2!$C$66</f>
        <v>0</v>
      </c>
      <c r="F26" s="35">
        <f>Erg.Fzg._3!$C$66</f>
        <v>0</v>
      </c>
      <c r="G26" s="35">
        <f>Erg.Fzg._4!$C$66</f>
        <v>0</v>
      </c>
      <c r="H26" s="36">
        <f>Erg.Fzg._5!$C$66</f>
        <v>0</v>
      </c>
      <c r="I26" s="91"/>
    </row>
    <row r="27" spans="1:9" ht="14.4" customHeight="1" x14ac:dyDescent="0.25">
      <c r="A27" s="33"/>
      <c r="B27" s="309" t="s">
        <v>432</v>
      </c>
      <c r="C27" s="310" t="s">
        <v>431</v>
      </c>
      <c r="D27" s="311" t="e">
        <f>SUM(D25:D26)</f>
        <v>#DIV/0!</v>
      </c>
      <c r="E27" s="311" t="e">
        <f t="shared" ref="E27:G27" si="2">SUM(E25:E26)</f>
        <v>#DIV/0!</v>
      </c>
      <c r="F27" s="311" t="e">
        <f t="shared" si="2"/>
        <v>#DIV/0!</v>
      </c>
      <c r="G27" s="311" t="e">
        <f t="shared" si="2"/>
        <v>#DIV/0!</v>
      </c>
      <c r="H27" s="312" t="e">
        <f>SUM(H25:H26)</f>
        <v>#DIV/0!</v>
      </c>
      <c r="I27" s="91"/>
    </row>
    <row r="29" spans="1:9" x14ac:dyDescent="0.25">
      <c r="B29" s="292" t="s">
        <v>424</v>
      </c>
      <c r="C29" s="21"/>
      <c r="D29" s="21"/>
      <c r="E29" s="21"/>
      <c r="F29" s="21"/>
      <c r="G29" s="21"/>
      <c r="H29" s="22"/>
    </row>
    <row r="30" spans="1:9" ht="363.6" customHeight="1" x14ac:dyDescent="0.25">
      <c r="B30" s="6"/>
      <c r="D30" s="10"/>
      <c r="E30" s="10"/>
      <c r="F30" s="10"/>
      <c r="G30" s="10"/>
      <c r="H30" s="100"/>
      <c r="I30" s="109"/>
    </row>
    <row r="31" spans="1:9" ht="15" customHeight="1" x14ac:dyDescent="0.25">
      <c r="B31" s="120" t="str">
        <f>D23</f>
        <v/>
      </c>
      <c r="C31" s="121" t="str">
        <f>E23</f>
        <v/>
      </c>
      <c r="D31" s="123" t="str">
        <f>F23</f>
        <v/>
      </c>
      <c r="E31" s="123"/>
      <c r="F31" s="122" t="str">
        <f>G23</f>
        <v/>
      </c>
      <c r="G31" s="123" t="str">
        <f>H23</f>
        <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55"/>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7.6640625" style="1" customWidth="1"/>
    <col min="5" max="5" width="16.33203125" style="1" bestFit="1" customWidth="1"/>
    <col min="6" max="6" width="13.5546875" style="1" customWidth="1"/>
    <col min="7" max="7" width="13.88671875" style="1" customWidth="1"/>
    <col min="8" max="8" width="14.6640625" style="1" customWidth="1"/>
    <col min="9" max="9" width="10.6640625" style="10" hidden="1" customWidth="1"/>
    <col min="10" max="10" width="19.33203125" style="1" customWidth="1"/>
    <col min="11" max="11" width="12.88671875" style="1" customWidth="1"/>
    <col min="12" max="12" width="11.5546875" style="1"/>
    <col min="13" max="13" width="11.5546875" style="1" customWidth="1"/>
    <col min="14" max="16384" width="11.5546875" style="1"/>
  </cols>
  <sheetData>
    <row r="1" spans="1:14" ht="14.4" x14ac:dyDescent="0.25">
      <c r="I1" s="97" t="s">
        <v>11</v>
      </c>
    </row>
    <row r="2" spans="1:14" x14ac:dyDescent="0.25">
      <c r="A2" s="119"/>
      <c r="B2" s="189" t="s">
        <v>92</v>
      </c>
      <c r="C2" s="119"/>
      <c r="D2" s="119"/>
      <c r="E2" s="119"/>
      <c r="F2" s="119"/>
      <c r="G2" s="119"/>
      <c r="H2" s="119"/>
      <c r="I2" s="190"/>
      <c r="J2" s="119"/>
      <c r="K2" s="106" t="s">
        <v>20</v>
      </c>
    </row>
    <row r="3" spans="1:14" x14ac:dyDescent="0.25">
      <c r="A3" s="119"/>
      <c r="B3" s="119"/>
      <c r="C3" s="119"/>
      <c r="D3" s="119"/>
      <c r="E3" s="119"/>
      <c r="F3" s="119"/>
      <c r="G3" s="119"/>
      <c r="H3" s="119"/>
      <c r="I3" s="190"/>
      <c r="J3" s="119"/>
    </row>
    <row r="4" spans="1:14" x14ac:dyDescent="0.25">
      <c r="A4" s="119"/>
      <c r="B4" s="292" t="s">
        <v>395</v>
      </c>
      <c r="C4" s="353"/>
      <c r="D4" s="353"/>
      <c r="E4" s="353"/>
      <c r="F4" s="353"/>
      <c r="G4" s="353"/>
      <c r="H4" s="354"/>
      <c r="I4" s="190"/>
      <c r="J4" s="119"/>
    </row>
    <row r="5" spans="1:14" ht="14.4" customHeight="1" x14ac:dyDescent="0.25">
      <c r="A5" s="390" t="s">
        <v>11</v>
      </c>
      <c r="B5" s="219"/>
      <c r="C5" s="219"/>
      <c r="D5" s="219"/>
      <c r="E5" s="219"/>
      <c r="F5" s="219"/>
      <c r="G5" s="219"/>
      <c r="H5" s="219"/>
      <c r="I5" s="190"/>
      <c r="J5" s="119"/>
      <c r="L5" s="466" t="s">
        <v>398</v>
      </c>
      <c r="M5" s="466"/>
      <c r="N5" s="466"/>
    </row>
    <row r="6" spans="1:14" ht="27.6" x14ac:dyDescent="0.25">
      <c r="A6" s="390"/>
      <c r="B6" s="220" t="s">
        <v>93</v>
      </c>
      <c r="C6" s="220" t="s">
        <v>42</v>
      </c>
      <c r="D6" s="221" t="s">
        <v>508</v>
      </c>
      <c r="E6" s="221" t="s">
        <v>509</v>
      </c>
      <c r="F6" s="221" t="s">
        <v>94</v>
      </c>
      <c r="G6" s="226" t="s">
        <v>95</v>
      </c>
      <c r="H6" s="221" t="s">
        <v>96</v>
      </c>
      <c r="I6" s="305" t="s">
        <v>97</v>
      </c>
      <c r="J6" s="119"/>
      <c r="L6" s="466"/>
      <c r="M6" s="466"/>
      <c r="N6" s="466"/>
    </row>
    <row r="7" spans="1:14" ht="27.6" x14ac:dyDescent="0.25">
      <c r="A7" s="351"/>
      <c r="B7" s="453" t="s">
        <v>98</v>
      </c>
      <c r="C7" s="459" t="s">
        <v>44</v>
      </c>
      <c r="D7" s="369" t="s">
        <v>510</v>
      </c>
      <c r="E7" s="385" t="s">
        <v>511</v>
      </c>
      <c r="F7" s="223">
        <v>230</v>
      </c>
      <c r="G7" s="271"/>
      <c r="H7" s="222" t="s">
        <v>64</v>
      </c>
      <c r="I7" s="306">
        <f t="shared" ref="I7:I25" si="0">IF(ISBLANK(G7),F7,G7)</f>
        <v>230</v>
      </c>
      <c r="J7" s="119"/>
      <c r="L7" s="466"/>
      <c r="M7" s="466"/>
      <c r="N7" s="466"/>
    </row>
    <row r="8" spans="1:14" x14ac:dyDescent="0.25">
      <c r="A8" s="351"/>
      <c r="B8" s="454"/>
      <c r="C8" s="460"/>
      <c r="D8" s="457" t="s">
        <v>512</v>
      </c>
      <c r="E8" s="386" t="s">
        <v>560</v>
      </c>
      <c r="F8" s="223">
        <v>150</v>
      </c>
      <c r="G8" s="271"/>
      <c r="H8" s="222" t="s">
        <v>64</v>
      </c>
      <c r="I8" s="306">
        <f t="shared" si="0"/>
        <v>150</v>
      </c>
      <c r="J8" s="119"/>
      <c r="L8" s="466"/>
      <c r="M8" s="466"/>
      <c r="N8" s="466"/>
    </row>
    <row r="9" spans="1:14" x14ac:dyDescent="0.25">
      <c r="A9" s="351"/>
      <c r="B9" s="454"/>
      <c r="C9" s="460"/>
      <c r="D9" s="457"/>
      <c r="E9" s="385" t="s">
        <v>519</v>
      </c>
      <c r="F9" s="223">
        <v>160</v>
      </c>
      <c r="G9" s="271"/>
      <c r="H9" s="222" t="s">
        <v>64</v>
      </c>
      <c r="I9" s="306">
        <f t="shared" si="0"/>
        <v>160</v>
      </c>
      <c r="J9" s="119"/>
      <c r="L9" s="466"/>
      <c r="M9" s="466"/>
      <c r="N9" s="466"/>
    </row>
    <row r="10" spans="1:14" x14ac:dyDescent="0.25">
      <c r="A10" s="351"/>
      <c r="B10" s="454"/>
      <c r="C10" s="460"/>
      <c r="D10" s="457"/>
      <c r="E10" s="386" t="s">
        <v>520</v>
      </c>
      <c r="F10" s="223">
        <v>190</v>
      </c>
      <c r="G10" s="271"/>
      <c r="H10" s="222" t="s">
        <v>64</v>
      </c>
      <c r="I10" s="306">
        <f t="shared" si="0"/>
        <v>190</v>
      </c>
      <c r="J10" s="119"/>
      <c r="L10" s="466"/>
      <c r="M10" s="466"/>
      <c r="N10" s="466"/>
    </row>
    <row r="11" spans="1:14" x14ac:dyDescent="0.25">
      <c r="A11" s="351"/>
      <c r="B11" s="454"/>
      <c r="C11" s="461"/>
      <c r="D11" s="458"/>
      <c r="E11" s="385" t="s">
        <v>521</v>
      </c>
      <c r="F11" s="223">
        <v>210</v>
      </c>
      <c r="G11" s="271"/>
      <c r="H11" s="222" t="s">
        <v>64</v>
      </c>
      <c r="I11" s="306">
        <f t="shared" si="0"/>
        <v>210</v>
      </c>
      <c r="J11" s="119"/>
      <c r="L11" s="466"/>
      <c r="M11" s="466"/>
      <c r="N11" s="466"/>
    </row>
    <row r="12" spans="1:14" x14ac:dyDescent="0.25">
      <c r="A12" s="351"/>
      <c r="B12" s="455"/>
      <c r="C12" s="222" t="s">
        <v>99</v>
      </c>
      <c r="D12" s="223" t="s">
        <v>502</v>
      </c>
      <c r="E12" s="385" t="s">
        <v>502</v>
      </c>
      <c r="F12" s="223">
        <v>40</v>
      </c>
      <c r="G12" s="271"/>
      <c r="H12" s="222" t="s">
        <v>64</v>
      </c>
      <c r="I12" s="306">
        <f t="shared" si="0"/>
        <v>40</v>
      </c>
      <c r="J12" s="119"/>
      <c r="L12" s="466"/>
      <c r="M12" s="466"/>
      <c r="N12" s="466"/>
    </row>
    <row r="13" spans="1:14" ht="27.6" x14ac:dyDescent="0.25">
      <c r="A13" s="351"/>
      <c r="B13" s="453" t="s">
        <v>103</v>
      </c>
      <c r="C13" s="459" t="s">
        <v>104</v>
      </c>
      <c r="D13" s="370" t="s">
        <v>510</v>
      </c>
      <c r="E13" s="385" t="s">
        <v>511</v>
      </c>
      <c r="F13" s="223">
        <v>32</v>
      </c>
      <c r="G13" s="271"/>
      <c r="H13" s="222" t="s">
        <v>105</v>
      </c>
      <c r="I13" s="306">
        <f>IF(ISBLANK(G13),F13,G13)</f>
        <v>32</v>
      </c>
      <c r="J13" s="119"/>
      <c r="L13" s="466"/>
      <c r="M13" s="466"/>
      <c r="N13" s="466"/>
    </row>
    <row r="14" spans="1:14" x14ac:dyDescent="0.25">
      <c r="A14" s="351"/>
      <c r="B14" s="454"/>
      <c r="C14" s="460"/>
      <c r="D14" s="456" t="s">
        <v>512</v>
      </c>
      <c r="E14" s="385" t="s">
        <v>560</v>
      </c>
      <c r="F14" s="223">
        <v>20</v>
      </c>
      <c r="G14" s="271"/>
      <c r="H14" s="222" t="s">
        <v>105</v>
      </c>
      <c r="I14" s="306">
        <f>IF(ISBLANK(G14),F14,G14)</f>
        <v>20</v>
      </c>
      <c r="J14" s="119"/>
      <c r="L14" s="466"/>
      <c r="M14" s="466"/>
      <c r="N14" s="466"/>
    </row>
    <row r="15" spans="1:14" x14ac:dyDescent="0.25">
      <c r="A15" s="351"/>
      <c r="B15" s="454"/>
      <c r="C15" s="460"/>
      <c r="D15" s="457"/>
      <c r="E15" s="385" t="s">
        <v>519</v>
      </c>
      <c r="F15" s="223">
        <v>28</v>
      </c>
      <c r="G15" s="271"/>
      <c r="H15" s="222" t="s">
        <v>105</v>
      </c>
      <c r="I15" s="306">
        <f t="shared" ref="I15:I16" si="1">IF(ISBLANK(G15),F15,G15)</f>
        <v>28</v>
      </c>
      <c r="J15" s="119"/>
      <c r="L15" s="466"/>
      <c r="M15" s="466"/>
      <c r="N15" s="466"/>
    </row>
    <row r="16" spans="1:14" x14ac:dyDescent="0.25">
      <c r="A16" s="351"/>
      <c r="B16" s="454"/>
      <c r="C16" s="461"/>
      <c r="D16" s="458"/>
      <c r="E16" s="385" t="s">
        <v>522</v>
      </c>
      <c r="F16" s="223">
        <v>32</v>
      </c>
      <c r="G16" s="271"/>
      <c r="H16" s="222" t="s">
        <v>105</v>
      </c>
      <c r="I16" s="306">
        <f t="shared" si="1"/>
        <v>32</v>
      </c>
      <c r="J16" s="119"/>
      <c r="L16" s="466"/>
      <c r="M16" s="466"/>
      <c r="N16" s="466"/>
    </row>
    <row r="17" spans="1:14" x14ac:dyDescent="0.25">
      <c r="A17" s="436" t="s">
        <v>11</v>
      </c>
      <c r="B17" s="454"/>
      <c r="C17" s="222" t="s">
        <v>44</v>
      </c>
      <c r="D17" s="223" t="s">
        <v>502</v>
      </c>
      <c r="E17" s="223" t="s">
        <v>502</v>
      </c>
      <c r="F17" s="223" t="s">
        <v>502</v>
      </c>
      <c r="G17" s="271"/>
      <c r="H17" s="222" t="s">
        <v>61</v>
      </c>
      <c r="I17" s="306" t="str">
        <f>IF(ISBLANK(G17),"keine",G17)</f>
        <v>keine</v>
      </c>
      <c r="J17" s="119"/>
      <c r="L17" s="466"/>
      <c r="M17" s="466"/>
      <c r="N17" s="466"/>
    </row>
    <row r="18" spans="1:14" x14ac:dyDescent="0.25">
      <c r="A18" s="436"/>
      <c r="B18" s="454"/>
      <c r="C18" s="222" t="s">
        <v>449</v>
      </c>
      <c r="D18" s="223" t="s">
        <v>502</v>
      </c>
      <c r="E18" s="223" t="s">
        <v>502</v>
      </c>
      <c r="F18" s="223" t="s">
        <v>502</v>
      </c>
      <c r="G18" s="271"/>
      <c r="H18" s="222" t="s">
        <v>61</v>
      </c>
      <c r="I18" s="306" t="str">
        <f>IF(ISBLANK(G18),"keine",G18)</f>
        <v>keine</v>
      </c>
      <c r="J18" s="119"/>
      <c r="L18" s="466"/>
      <c r="M18" s="466"/>
      <c r="N18" s="466"/>
    </row>
    <row r="19" spans="1:14" x14ac:dyDescent="0.25">
      <c r="A19" s="436"/>
      <c r="B19" s="455"/>
      <c r="C19" s="222" t="s">
        <v>503</v>
      </c>
      <c r="D19" s="223" t="s">
        <v>502</v>
      </c>
      <c r="E19" s="223" t="s">
        <v>502</v>
      </c>
      <c r="F19" s="223" t="s">
        <v>502</v>
      </c>
      <c r="G19" s="271"/>
      <c r="H19" s="222" t="s">
        <v>105</v>
      </c>
      <c r="I19" s="306" t="str">
        <f>IF(ISBLANK(G19),"keine",G19)</f>
        <v>keine</v>
      </c>
      <c r="J19" s="119"/>
      <c r="L19" s="466"/>
      <c r="M19" s="466"/>
      <c r="N19" s="466"/>
    </row>
    <row r="20" spans="1:14" x14ac:dyDescent="0.25">
      <c r="A20" s="351"/>
      <c r="B20" s="377"/>
      <c r="C20" s="379"/>
      <c r="D20" s="462" t="s">
        <v>516</v>
      </c>
      <c r="E20" s="463"/>
      <c r="F20" s="380"/>
      <c r="G20" s="381"/>
      <c r="H20" s="378"/>
      <c r="I20" s="306"/>
      <c r="J20" s="119"/>
      <c r="L20" s="466"/>
      <c r="M20" s="466"/>
      <c r="N20" s="466"/>
    </row>
    <row r="21" spans="1:14" x14ac:dyDescent="0.25">
      <c r="A21" s="351"/>
      <c r="B21" s="453" t="s">
        <v>100</v>
      </c>
      <c r="C21" s="459" t="s">
        <v>101</v>
      </c>
      <c r="D21" s="464" t="s">
        <v>513</v>
      </c>
      <c r="E21" s="465"/>
      <c r="F21" s="385">
        <v>64</v>
      </c>
      <c r="G21" s="271"/>
      <c r="H21" s="222" t="s">
        <v>66</v>
      </c>
      <c r="I21" s="306">
        <f>IF(ISBLANK(G21),F21,G21)</f>
        <v>64</v>
      </c>
      <c r="J21" s="119"/>
      <c r="L21" s="466"/>
      <c r="M21" s="466"/>
      <c r="N21" s="466"/>
    </row>
    <row r="22" spans="1:14" x14ac:dyDescent="0.25">
      <c r="A22" s="351"/>
      <c r="B22" s="454"/>
      <c r="C22" s="460"/>
      <c r="D22" s="464" t="s">
        <v>514</v>
      </c>
      <c r="E22" s="465"/>
      <c r="F22" s="385">
        <v>84</v>
      </c>
      <c r="G22" s="271"/>
      <c r="H22" s="222" t="s">
        <v>66</v>
      </c>
      <c r="I22" s="306">
        <f t="shared" ref="I22:I23" si="2">IF(ISBLANK(G22),F22,G22)</f>
        <v>84</v>
      </c>
      <c r="J22" s="119"/>
      <c r="K22" s="382"/>
      <c r="L22" s="466"/>
      <c r="M22" s="466"/>
      <c r="N22" s="466"/>
    </row>
    <row r="23" spans="1:14" x14ac:dyDescent="0.25">
      <c r="A23" s="351"/>
      <c r="B23" s="455"/>
      <c r="C23" s="461"/>
      <c r="D23" s="464" t="s">
        <v>515</v>
      </c>
      <c r="E23" s="465"/>
      <c r="F23" s="385">
        <v>100</v>
      </c>
      <c r="G23" s="271"/>
      <c r="H23" s="222" t="s">
        <v>66</v>
      </c>
      <c r="I23" s="306">
        <f t="shared" si="2"/>
        <v>100</v>
      </c>
      <c r="J23" s="119"/>
      <c r="L23" s="466"/>
      <c r="M23" s="466"/>
      <c r="N23" s="466"/>
    </row>
    <row r="24" spans="1:14" x14ac:dyDescent="0.25">
      <c r="A24" s="351"/>
      <c r="B24" s="366" t="s">
        <v>102</v>
      </c>
      <c r="C24" s="368" t="s">
        <v>101</v>
      </c>
      <c r="D24" s="464" t="s">
        <v>517</v>
      </c>
      <c r="E24" s="465"/>
      <c r="F24" s="387">
        <v>3.6</v>
      </c>
      <c r="G24" s="271"/>
      <c r="H24" s="222" t="s">
        <v>66</v>
      </c>
      <c r="I24" s="306">
        <f>IF(ISBLANK(G24),F24,G24)</f>
        <v>3.6</v>
      </c>
      <c r="J24" s="119"/>
      <c r="L24" s="466"/>
      <c r="M24" s="466"/>
      <c r="N24" s="466"/>
    </row>
    <row r="25" spans="1:14" s="8" customFormat="1" ht="27.6" x14ac:dyDescent="0.25">
      <c r="A25" s="352"/>
      <c r="B25" s="355" t="s">
        <v>106</v>
      </c>
      <c r="C25" s="225" t="s">
        <v>99</v>
      </c>
      <c r="D25" s="223" t="s">
        <v>502</v>
      </c>
      <c r="E25" s="223" t="s">
        <v>502</v>
      </c>
      <c r="F25" s="224">
        <v>60</v>
      </c>
      <c r="G25" s="272"/>
      <c r="H25" s="225" t="s">
        <v>69</v>
      </c>
      <c r="I25" s="306">
        <f t="shared" si="0"/>
        <v>60</v>
      </c>
      <c r="J25" s="191"/>
      <c r="L25" s="466"/>
      <c r="M25" s="466"/>
      <c r="N25" s="466"/>
    </row>
    <row r="26" spans="1:14" x14ac:dyDescent="0.25">
      <c r="A26" s="119"/>
      <c r="B26" s="119"/>
      <c r="C26" s="119"/>
      <c r="D26" s="119"/>
      <c r="E26" s="119"/>
      <c r="F26" s="119"/>
      <c r="G26" s="119"/>
      <c r="H26" s="119"/>
      <c r="I26" s="190"/>
      <c r="J26" s="119"/>
    </row>
    <row r="27" spans="1:14" x14ac:dyDescent="0.25">
      <c r="A27" s="119"/>
      <c r="B27" s="119"/>
      <c r="C27" s="119"/>
      <c r="D27" s="119"/>
      <c r="E27" s="119"/>
      <c r="F27" s="119"/>
      <c r="G27" s="119"/>
      <c r="H27" s="119"/>
      <c r="I27" s="190"/>
      <c r="J27" s="119"/>
    </row>
    <row r="29" spans="1:14" x14ac:dyDescent="0.25">
      <c r="A29" s="193"/>
      <c r="B29" s="192" t="s">
        <v>107</v>
      </c>
      <c r="C29" s="192"/>
      <c r="D29" s="192"/>
      <c r="E29" s="192"/>
      <c r="F29" s="193" t="s">
        <v>108</v>
      </c>
      <c r="G29" s="193"/>
      <c r="H29" s="193"/>
      <c r="I29" s="194"/>
      <c r="J29" s="194"/>
      <c r="K29" s="194"/>
    </row>
    <row r="30" spans="1:14" x14ac:dyDescent="0.25">
      <c r="A30" s="193"/>
      <c r="B30" s="193"/>
      <c r="C30" s="193"/>
      <c r="D30" s="193"/>
      <c r="E30" s="193"/>
      <c r="F30" s="193"/>
      <c r="G30" s="193"/>
      <c r="H30" s="193"/>
      <c r="I30" s="194"/>
      <c r="J30" s="194"/>
      <c r="K30" s="194"/>
    </row>
    <row r="31" spans="1:14" x14ac:dyDescent="0.25">
      <c r="A31" s="196"/>
      <c r="B31" s="292" t="s">
        <v>394</v>
      </c>
      <c r="C31" s="338"/>
      <c r="D31" s="338"/>
      <c r="E31" s="338"/>
      <c r="F31" s="339"/>
      <c r="G31" s="339"/>
      <c r="H31" s="340"/>
      <c r="I31" s="194"/>
      <c r="J31" s="195"/>
      <c r="K31" s="195"/>
    </row>
    <row r="32" spans="1:14" x14ac:dyDescent="0.25">
      <c r="A32" s="196"/>
      <c r="B32" s="6"/>
      <c r="C32" s="326"/>
      <c r="D32" s="326"/>
      <c r="E32" s="326"/>
      <c r="F32" s="6"/>
      <c r="G32" s="326"/>
      <c r="H32" s="208"/>
      <c r="I32" s="194"/>
      <c r="J32" s="195"/>
      <c r="K32" s="195"/>
    </row>
    <row r="33" spans="1:11" x14ac:dyDescent="0.25">
      <c r="A33" s="196"/>
      <c r="B33" s="345" t="s">
        <v>46</v>
      </c>
      <c r="C33" s="326"/>
      <c r="D33" s="326"/>
      <c r="E33" s="326"/>
      <c r="F33" s="295" t="s">
        <v>109</v>
      </c>
      <c r="G33" s="346"/>
      <c r="H33" s="294" t="s">
        <v>96</v>
      </c>
      <c r="I33" s="194"/>
      <c r="J33" s="195"/>
      <c r="K33" s="195"/>
    </row>
    <row r="34" spans="1:11" ht="27.6" x14ac:dyDescent="0.25">
      <c r="A34" s="196"/>
      <c r="B34" s="6"/>
      <c r="C34" s="326"/>
      <c r="D34" s="326"/>
      <c r="E34" s="326"/>
      <c r="F34" s="209"/>
      <c r="G34" s="210" t="s">
        <v>95</v>
      </c>
      <c r="H34" s="293"/>
      <c r="I34" s="307" t="s">
        <v>110</v>
      </c>
      <c r="J34" s="198" t="s">
        <v>111</v>
      </c>
      <c r="K34" s="255" t="s">
        <v>112</v>
      </c>
    </row>
    <row r="35" spans="1:11" ht="14.4" x14ac:dyDescent="0.3">
      <c r="A35" s="204"/>
      <c r="B35" s="212" t="s">
        <v>113</v>
      </c>
      <c r="C35" s="371"/>
      <c r="D35" s="374"/>
      <c r="E35" s="213"/>
      <c r="F35" s="214">
        <v>41.4</v>
      </c>
      <c r="G35" s="243"/>
      <c r="H35" s="9" t="s">
        <v>114</v>
      </c>
      <c r="I35" s="307">
        <f>IF(ISNUMBER(G35),G35,F35)/100</f>
        <v>0.41399999999999998</v>
      </c>
      <c r="J35" s="199" t="s">
        <v>434</v>
      </c>
      <c r="K35" s="254"/>
    </row>
    <row r="36" spans="1:11" ht="14.4" x14ac:dyDescent="0.3">
      <c r="A36" s="204"/>
      <c r="B36" s="215" t="s">
        <v>115</v>
      </c>
      <c r="C36" s="372"/>
      <c r="D36" s="375"/>
      <c r="E36" s="211"/>
      <c r="F36" s="214">
        <v>59</v>
      </c>
      <c r="G36" s="243"/>
      <c r="H36" s="9" t="s">
        <v>114</v>
      </c>
      <c r="I36" s="307">
        <f>IF(ISNUMBER(G36),G36,F36)/100</f>
        <v>0.59</v>
      </c>
      <c r="J36" s="199" t="s">
        <v>442</v>
      </c>
      <c r="K36" s="254"/>
    </row>
    <row r="37" spans="1:11" ht="14.4" hidden="1" x14ac:dyDescent="0.25">
      <c r="A37" s="205"/>
      <c r="B37" s="216" t="s">
        <v>47</v>
      </c>
      <c r="C37" s="373"/>
      <c r="D37" s="376"/>
      <c r="E37" s="347"/>
      <c r="F37" s="348"/>
      <c r="G37" s="349"/>
      <c r="H37" s="208"/>
      <c r="I37" s="307">
        <f>I35*Input_Beschaffung!J32/100+I36*(1-Input_Beschaffung!J32/100)</f>
        <v>0.502</v>
      </c>
      <c r="J37" s="199"/>
      <c r="K37" s="254"/>
    </row>
    <row r="38" spans="1:11" x14ac:dyDescent="0.25">
      <c r="A38" s="449"/>
      <c r="B38" s="212" t="s">
        <v>48</v>
      </c>
      <c r="C38" s="371"/>
      <c r="D38" s="374"/>
      <c r="E38" s="213"/>
      <c r="F38" s="270">
        <v>1.6719999999999999</v>
      </c>
      <c r="G38" s="243"/>
      <c r="H38" s="9" t="s">
        <v>116</v>
      </c>
      <c r="I38" s="307">
        <f t="shared" ref="I38:I40" si="3">IF(ISNUMBER(G38),G38,F38)</f>
        <v>1.6719999999999999</v>
      </c>
      <c r="J38" s="199" t="s">
        <v>439</v>
      </c>
      <c r="K38" s="254"/>
    </row>
    <row r="39" spans="1:11" x14ac:dyDescent="0.25">
      <c r="A39" s="449"/>
      <c r="B39" s="212" t="s">
        <v>49</v>
      </c>
      <c r="C39" s="371"/>
      <c r="D39" s="374"/>
      <c r="E39" s="213"/>
      <c r="F39" s="270">
        <v>1.788</v>
      </c>
      <c r="G39" s="243"/>
      <c r="H39" s="9" t="s">
        <v>116</v>
      </c>
      <c r="I39" s="307">
        <f t="shared" si="3"/>
        <v>1.788</v>
      </c>
      <c r="J39" s="199" t="s">
        <v>439</v>
      </c>
      <c r="K39" s="254"/>
    </row>
    <row r="40" spans="1:11" ht="14.4" x14ac:dyDescent="0.25">
      <c r="A40" s="205"/>
      <c r="B40" s="212" t="s">
        <v>117</v>
      </c>
      <c r="C40" s="371"/>
      <c r="D40" s="374"/>
      <c r="E40" s="213"/>
      <c r="F40" s="217">
        <v>1.3</v>
      </c>
      <c r="G40" s="243"/>
      <c r="H40" s="9" t="s">
        <v>118</v>
      </c>
      <c r="I40" s="307">
        <f t="shared" si="3"/>
        <v>1.3</v>
      </c>
      <c r="J40" s="199" t="s">
        <v>436</v>
      </c>
      <c r="K40" s="254"/>
    </row>
    <row r="41" spans="1:11" ht="14.4" x14ac:dyDescent="0.25">
      <c r="A41" s="206"/>
      <c r="B41" s="193"/>
      <c r="C41" s="193"/>
      <c r="D41" s="193"/>
      <c r="E41" s="193"/>
      <c r="F41" s="194"/>
      <c r="G41" s="200"/>
      <c r="H41" s="193"/>
      <c r="I41" s="197"/>
      <c r="J41" s="194"/>
      <c r="K41" s="194"/>
    </row>
    <row r="42" spans="1:11" x14ac:dyDescent="0.25">
      <c r="A42" s="193"/>
      <c r="B42" s="193"/>
      <c r="C42" s="193"/>
      <c r="D42" s="193"/>
      <c r="E42" s="193"/>
      <c r="F42" s="194"/>
      <c r="G42" s="194"/>
      <c r="H42" s="193"/>
      <c r="I42" s="194"/>
      <c r="J42" s="194"/>
      <c r="K42" s="194"/>
    </row>
    <row r="43" spans="1:11" x14ac:dyDescent="0.25">
      <c r="A43" s="193"/>
      <c r="B43" s="292" t="s">
        <v>119</v>
      </c>
      <c r="C43" s="338"/>
      <c r="D43" s="338"/>
      <c r="E43" s="338"/>
      <c r="F43" s="339"/>
      <c r="G43" s="339"/>
      <c r="H43" s="340"/>
      <c r="I43" s="201"/>
      <c r="J43" s="201"/>
      <c r="K43" s="201"/>
    </row>
    <row r="44" spans="1:11" ht="22.95" customHeight="1" x14ac:dyDescent="0.25">
      <c r="A44" s="193"/>
      <c r="B44" s="450" t="s">
        <v>120</v>
      </c>
      <c r="C44" s="451"/>
      <c r="D44" s="451"/>
      <c r="E44" s="451"/>
      <c r="F44" s="451"/>
      <c r="G44" s="451"/>
      <c r="H44" s="452"/>
      <c r="I44" s="307" t="s">
        <v>110</v>
      </c>
      <c r="J44" s="202"/>
      <c r="K44" s="202"/>
    </row>
    <row r="45" spans="1:11" ht="27.6" x14ac:dyDescent="0.25">
      <c r="A45" s="193"/>
      <c r="B45" s="6"/>
      <c r="C45" s="326"/>
      <c r="D45" s="326"/>
      <c r="E45" s="326"/>
      <c r="F45" s="326"/>
      <c r="G45" s="341" t="s">
        <v>95</v>
      </c>
      <c r="H45" s="342" t="s">
        <v>96</v>
      </c>
      <c r="I45" s="307"/>
      <c r="J45" s="195"/>
      <c r="K45" s="195"/>
    </row>
    <row r="46" spans="1:11" ht="16.2" x14ac:dyDescent="0.35">
      <c r="A46" s="207"/>
      <c r="B46" s="6" t="s">
        <v>121</v>
      </c>
      <c r="C46" s="326"/>
      <c r="D46" s="326"/>
      <c r="E46" s="326"/>
      <c r="F46" s="218">
        <f>IF(KostTHGVorgabe="(Niedrig) 250", 250, 860)</f>
        <v>860</v>
      </c>
      <c r="G46" s="243"/>
      <c r="H46" s="9" t="s">
        <v>33</v>
      </c>
      <c r="I46" s="307">
        <f>IF(ISNUMBER(G46),G46,F46)</f>
        <v>860</v>
      </c>
      <c r="J46" s="199" t="s">
        <v>404</v>
      </c>
      <c r="K46" s="254"/>
    </row>
    <row r="47" spans="1:11" x14ac:dyDescent="0.25">
      <c r="A47" s="193"/>
      <c r="B47" s="6"/>
      <c r="C47" s="326"/>
      <c r="D47" s="326"/>
      <c r="E47" s="326"/>
      <c r="F47" s="343"/>
      <c r="G47" s="343"/>
      <c r="H47" s="344"/>
      <c r="I47" s="307"/>
      <c r="J47" s="195"/>
      <c r="K47" s="195"/>
    </row>
    <row r="48" spans="1:11" x14ac:dyDescent="0.25">
      <c r="A48" s="193"/>
      <c r="B48" s="6" t="s">
        <v>123</v>
      </c>
      <c r="C48" s="326"/>
      <c r="D48" s="326"/>
      <c r="E48" s="326"/>
      <c r="F48" s="218">
        <v>0.02</v>
      </c>
      <c r="G48" s="243"/>
      <c r="H48" s="9" t="s">
        <v>124</v>
      </c>
      <c r="I48" s="307">
        <f>IF(ISNUMBER(G48),G48,F48)</f>
        <v>0.02</v>
      </c>
      <c r="J48" s="199" t="s">
        <v>122</v>
      </c>
      <c r="K48" s="254"/>
    </row>
    <row r="49" spans="1:11" x14ac:dyDescent="0.25">
      <c r="A49" s="193"/>
      <c r="B49" s="215" t="s">
        <v>125</v>
      </c>
      <c r="C49" s="72"/>
      <c r="D49" s="72"/>
      <c r="E49" s="72"/>
      <c r="F49" s="218">
        <v>0.15</v>
      </c>
      <c r="G49" s="243"/>
      <c r="H49" s="9" t="s">
        <v>124</v>
      </c>
      <c r="I49" s="307">
        <f>IF(ISNUMBER(G49),G49,F49)</f>
        <v>0.15</v>
      </c>
      <c r="J49" s="199" t="s">
        <v>122</v>
      </c>
      <c r="K49" s="254"/>
    </row>
    <row r="50" spans="1:11" x14ac:dyDescent="0.25">
      <c r="A50" s="193"/>
      <c r="B50" s="203"/>
      <c r="C50" s="193"/>
      <c r="D50" s="193"/>
      <c r="E50" s="193"/>
      <c r="F50" s="194"/>
      <c r="G50" s="194"/>
      <c r="H50" s="193"/>
      <c r="I50" s="307"/>
      <c r="J50" s="195"/>
      <c r="K50" s="195"/>
    </row>
    <row r="51" spans="1:11" x14ac:dyDescent="0.25">
      <c r="A51" s="193"/>
      <c r="B51" s="193"/>
      <c r="C51" s="203"/>
      <c r="D51" s="203"/>
      <c r="E51" s="203"/>
      <c r="F51" s="193"/>
      <c r="G51" s="193"/>
      <c r="H51" s="193"/>
      <c r="I51" s="307"/>
      <c r="J51" s="194"/>
      <c r="K51" s="194"/>
    </row>
    <row r="52" spans="1:11" x14ac:dyDescent="0.25">
      <c r="A52" s="193"/>
      <c r="B52" s="292" t="s">
        <v>126</v>
      </c>
      <c r="C52" s="339"/>
      <c r="D52" s="339"/>
      <c r="E52" s="339"/>
      <c r="F52" s="339"/>
      <c r="G52" s="339"/>
      <c r="H52" s="350"/>
      <c r="I52" s="307"/>
      <c r="J52" s="193"/>
      <c r="K52" s="193"/>
    </row>
    <row r="53" spans="1:11" ht="16.2" x14ac:dyDescent="0.35">
      <c r="A53" s="193"/>
      <c r="B53" s="447" t="s">
        <v>399</v>
      </c>
      <c r="C53" s="448"/>
      <c r="D53" s="367"/>
      <c r="E53" s="367"/>
      <c r="F53" s="218">
        <v>84</v>
      </c>
      <c r="G53" s="243"/>
      <c r="H53" s="9" t="s">
        <v>127</v>
      </c>
      <c r="I53" s="307">
        <f>IF(ISNUMBER(G53),G53,F53)</f>
        <v>84</v>
      </c>
      <c r="J53" s="199" t="s">
        <v>128</v>
      </c>
      <c r="K53" s="254"/>
    </row>
    <row r="54" spans="1:11" x14ac:dyDescent="0.25">
      <c r="A54" s="193"/>
      <c r="B54" s="246" t="s">
        <v>129</v>
      </c>
      <c r="C54" s="247"/>
      <c r="D54" s="247"/>
      <c r="E54" s="247"/>
      <c r="F54" s="247"/>
      <c r="G54" s="193"/>
      <c r="H54" s="193"/>
      <c r="I54" s="194"/>
      <c r="J54" s="193"/>
      <c r="K54" s="193"/>
    </row>
    <row r="55" spans="1:11" x14ac:dyDescent="0.25">
      <c r="A55" s="193"/>
      <c r="B55" s="193"/>
      <c r="C55" s="248"/>
      <c r="D55" s="248"/>
      <c r="E55" s="248"/>
      <c r="F55" s="248"/>
      <c r="G55" s="249"/>
      <c r="H55" s="193"/>
      <c r="I55" s="194"/>
      <c r="J55" s="193"/>
      <c r="K55" s="193"/>
    </row>
  </sheetData>
  <sheetProtection sheet="1" objects="1" scenarios="1"/>
  <mergeCells count="19">
    <mergeCell ref="A5:A6"/>
    <mergeCell ref="L5:N25"/>
    <mergeCell ref="B7:B12"/>
    <mergeCell ref="C7:C11"/>
    <mergeCell ref="D8:D11"/>
    <mergeCell ref="B53:C53"/>
    <mergeCell ref="A38:A39"/>
    <mergeCell ref="B44:H44"/>
    <mergeCell ref="A17:A19"/>
    <mergeCell ref="B13:B19"/>
    <mergeCell ref="D14:D16"/>
    <mergeCell ref="B21:B23"/>
    <mergeCell ref="C21:C23"/>
    <mergeCell ref="C13:C16"/>
    <mergeCell ref="D20:E20"/>
    <mergeCell ref="D21:E21"/>
    <mergeCell ref="D22:E22"/>
    <mergeCell ref="D23:E23"/>
    <mergeCell ref="D24:E24"/>
  </mergeCells>
  <conditionalFormatting sqref="K35">
    <cfRule type="expression" dxfId="14" priority="10">
      <formula>G35&lt;&gt;""</formula>
    </cfRule>
  </conditionalFormatting>
  <conditionalFormatting sqref="K36">
    <cfRule type="expression" dxfId="13" priority="9">
      <formula>G36&lt;&gt;""</formula>
    </cfRule>
  </conditionalFormatting>
  <conditionalFormatting sqref="K38">
    <cfRule type="expression" dxfId="12" priority="8">
      <formula>G38&lt;&gt;""</formula>
    </cfRule>
  </conditionalFormatting>
  <conditionalFormatting sqref="K39">
    <cfRule type="expression" dxfId="11" priority="7">
      <formula>G39&lt;&gt;""</formula>
    </cfRule>
  </conditionalFormatting>
  <conditionalFormatting sqref="K40">
    <cfRule type="expression" dxfId="10" priority="6">
      <formula>G40&lt;&gt;""</formula>
    </cfRule>
  </conditionalFormatting>
  <conditionalFormatting sqref="K46">
    <cfRule type="expression" dxfId="9" priority="5">
      <formula>G46&lt;&gt;""</formula>
    </cfRule>
  </conditionalFormatting>
  <conditionalFormatting sqref="K48">
    <cfRule type="expression" dxfId="8" priority="4">
      <formula>G48&lt;&gt;""</formula>
    </cfRule>
  </conditionalFormatting>
  <conditionalFormatting sqref="K49">
    <cfRule type="expression" dxfId="7" priority="3">
      <formula>G49&lt;&gt;""</formula>
    </cfRule>
  </conditionalFormatting>
  <conditionalFormatting sqref="K53">
    <cfRule type="expression" dxfId="6" priority="2">
      <formula>G53&lt;&gt;""</formula>
    </cfRule>
  </conditionalFormatting>
  <conditionalFormatting sqref="K34">
    <cfRule type="expression" dxfId="5" priority="1">
      <formula>SUM(G35:G53)&gt;0</formula>
    </cfRule>
  </conditionalFormatting>
  <hyperlinks>
    <hyperlink ref="K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429</v>
      </c>
      <c r="E2" s="106" t="s">
        <v>20</v>
      </c>
      <c r="F2" s="7"/>
      <c r="G2" s="106"/>
    </row>
    <row r="3" spans="1:7" x14ac:dyDescent="0.25">
      <c r="F3" s="7"/>
    </row>
    <row r="4" spans="1:7" x14ac:dyDescent="0.25">
      <c r="B4" s="154" t="s">
        <v>130</v>
      </c>
      <c r="C4" s="89"/>
      <c r="D4" s="89"/>
      <c r="F4" s="7"/>
    </row>
    <row r="5" spans="1:7" x14ac:dyDescent="0.25">
      <c r="F5" s="125" t="str">
        <f>IF(Antriebsart1="Vollelektrisch (BEV)","Strom","nicht verfügbar")</f>
        <v>nicht verfügbar</v>
      </c>
    </row>
    <row r="6" spans="1:7" x14ac:dyDescent="0.25">
      <c r="B6" s="2" t="s">
        <v>41</v>
      </c>
      <c r="C6" s="54">
        <v>1</v>
      </c>
      <c r="F6" s="125" t="str">
        <f>IF(OR(Antriebsart1="Verbrenner",Antriebsart1="Plug-In-Hybrid (PHEV)"),"Diesel","nicht verfügbar")</f>
        <v>nicht verfügbar</v>
      </c>
    </row>
    <row r="7" spans="1:7" x14ac:dyDescent="0.25">
      <c r="B7" s="1" t="s">
        <v>50</v>
      </c>
      <c r="C7" s="102" t="str">
        <f>IF(Anbieter1=0,"",Anbieter1)</f>
        <v/>
      </c>
      <c r="F7" s="125" t="str">
        <f>IF(OR(Antriebsart1="Verbrenner",Antriebsart1="Plug-In-Hybrid (PHEV)"),"Benzin","nicht verfügbar")</f>
        <v>nicht verfügbar</v>
      </c>
    </row>
    <row r="8" spans="1:7" x14ac:dyDescent="0.25">
      <c r="C8" s="102"/>
      <c r="F8" s="125" t="str">
        <f>IF(Antriebsart1="Verbrenner","Erdgas (CNG)","nicht verfügbar")</f>
        <v>nicht verfügbar</v>
      </c>
    </row>
    <row r="9" spans="1:7" x14ac:dyDescent="0.25">
      <c r="B9" s="2" t="s">
        <v>131</v>
      </c>
      <c r="C9" s="102"/>
      <c r="F9" s="125"/>
    </row>
    <row r="10" spans="1:7" x14ac:dyDescent="0.25">
      <c r="B10" s="1" t="s">
        <v>132</v>
      </c>
      <c r="C10" s="102" t="str">
        <f>IF(Hersteller1=0,"",Hersteller1)</f>
        <v/>
      </c>
      <c r="D10" s="55"/>
      <c r="F10" s="125"/>
    </row>
    <row r="11" spans="1:7" x14ac:dyDescent="0.25">
      <c r="B11" s="1" t="s">
        <v>52</v>
      </c>
      <c r="C11" s="102" t="str">
        <f>IF(Modell1=0,"",Modell1)</f>
        <v/>
      </c>
      <c r="D11" s="55"/>
      <c r="F11" s="125"/>
    </row>
    <row r="12" spans="1:7" ht="43.95" customHeight="1" x14ac:dyDescent="0.25">
      <c r="B12" s="56" t="s">
        <v>133</v>
      </c>
      <c r="C12" s="102" t="str">
        <f>IF(Zusatzinfo1=0,"",Zusatzinfo1)</f>
        <v/>
      </c>
      <c r="D12" s="55"/>
      <c r="F12" s="125"/>
    </row>
    <row r="13" spans="1:7" x14ac:dyDescent="0.25">
      <c r="B13" s="57" t="s">
        <v>42</v>
      </c>
      <c r="C13" s="102" t="str">
        <f>IF(Antriebsart1=0,"",Antriebsart1)</f>
        <v/>
      </c>
      <c r="F13" s="7"/>
    </row>
    <row r="14" spans="1:7" x14ac:dyDescent="0.25">
      <c r="A14" s="107"/>
      <c r="B14" s="2" t="s">
        <v>46</v>
      </c>
      <c r="C14" s="102" t="str">
        <f>IF(Energie1=0,"",Energie1)</f>
        <v/>
      </c>
      <c r="D14" s="88"/>
      <c r="E14" s="133"/>
      <c r="F14" s="7"/>
    </row>
    <row r="15" spans="1:7" s="125" customFormat="1" ht="13.95" customHeight="1" x14ac:dyDescent="0.25">
      <c r="A15" s="124"/>
      <c r="C15" s="127"/>
      <c r="F15" s="7"/>
    </row>
    <row r="16" spans="1:7" x14ac:dyDescent="0.25">
      <c r="B16" s="154" t="s">
        <v>134</v>
      </c>
      <c r="C16" s="3"/>
      <c r="D16" s="3"/>
      <c r="F16" s="125"/>
    </row>
    <row r="17" spans="1:6" x14ac:dyDescent="0.25">
      <c r="B17" s="66"/>
      <c r="C17" s="66"/>
      <c r="D17" s="66"/>
      <c r="F17" s="125"/>
    </row>
    <row r="18" spans="1:6" x14ac:dyDescent="0.25">
      <c r="B18" s="72" t="s">
        <v>135</v>
      </c>
      <c r="C18" s="287">
        <f>0.0057*(ReichwPHEV1/23)^3-0.0838*(ReichwPHEV1/23)^2+0.4261*(ReichwPHEV1/23)+ 0.1633</f>
        <v>0.1633</v>
      </c>
      <c r="D18" s="184"/>
      <c r="F18" s="125"/>
    </row>
    <row r="19" spans="1:6" x14ac:dyDescent="0.25">
      <c r="B19" s="1" t="s">
        <v>136</v>
      </c>
      <c r="C19" s="288">
        <f>Verbrauch1/(1-0.9*C18)</f>
        <v>0</v>
      </c>
      <c r="D19" s="7" t="s">
        <v>61</v>
      </c>
      <c r="F19" s="125"/>
    </row>
    <row r="20" spans="1:6" x14ac:dyDescent="0.25">
      <c r="B20" s="72" t="s">
        <v>137</v>
      </c>
      <c r="C20" s="289">
        <f>VerbEl_WLTP1/C18</f>
        <v>0</v>
      </c>
      <c r="D20" s="184" t="s">
        <v>62</v>
      </c>
      <c r="F20" s="125"/>
    </row>
    <row r="21" spans="1:6" x14ac:dyDescent="0.25">
      <c r="B21" s="186" t="s">
        <v>138</v>
      </c>
      <c r="C21" s="290">
        <f>0.0021*(ReichwPHEV1/23)^3-0.0358*(ReichwPHEV1/23)^2+0.2607*(ReichwPHEV1/23)- 0.0267</f>
        <v>-2.6700000000000002E-2</v>
      </c>
      <c r="D21" s="187"/>
      <c r="F21" s="125"/>
    </row>
    <row r="22" spans="1:6" x14ac:dyDescent="0.25">
      <c r="A22" s="470" t="s">
        <v>11</v>
      </c>
      <c r="B22" s="469" t="s">
        <v>139</v>
      </c>
      <c r="C22" s="291">
        <f>C19*(1-0.9*C21)</f>
        <v>0</v>
      </c>
      <c r="D22" s="185" t="s">
        <v>61</v>
      </c>
      <c r="F22" s="125"/>
    </row>
    <row r="23" spans="1:6" x14ac:dyDescent="0.25">
      <c r="A23" s="470"/>
      <c r="B23" s="429"/>
      <c r="C23" s="291">
        <f>C20*C21</f>
        <v>0</v>
      </c>
      <c r="D23" s="183" t="s">
        <v>62</v>
      </c>
      <c r="F23" s="125"/>
    </row>
    <row r="24" spans="1:6" s="125" customFormat="1" ht="14.4" x14ac:dyDescent="0.25">
      <c r="A24" s="126"/>
      <c r="C24" s="181"/>
      <c r="D24" s="7"/>
    </row>
    <row r="25" spans="1:6" x14ac:dyDescent="0.25">
      <c r="B25" s="154" t="s">
        <v>140</v>
      </c>
      <c r="C25" s="89"/>
      <c r="D25" s="89"/>
      <c r="F25" s="107"/>
    </row>
    <row r="26" spans="1:6" x14ac:dyDescent="0.25">
      <c r="F26" s="125"/>
    </row>
    <row r="27" spans="1:6" x14ac:dyDescent="0.25">
      <c r="B27" s="60" t="s">
        <v>79</v>
      </c>
      <c r="C27" s="61"/>
      <c r="D27" s="60"/>
      <c r="F27" s="125"/>
    </row>
    <row r="28" spans="1:6" x14ac:dyDescent="0.25">
      <c r="B28" s="1" t="s">
        <v>141</v>
      </c>
      <c r="C28" s="278">
        <f>IF(Antriebsart1="Vollelektrisch (BEV)",0,IFERROR(VLOOKUP(Energie1,EnKostList,8,FALSE),0)*IF(Antriebsart1="Plug-In-Hybrid (PHEV)",VerbPHEV1,Verbrauch1)/100*Fahrleistung)</f>
        <v>0</v>
      </c>
      <c r="D28" s="2" t="s">
        <v>142</v>
      </c>
      <c r="F28" s="125"/>
    </row>
    <row r="29" spans="1:6" x14ac:dyDescent="0.25">
      <c r="B29" s="1" t="s">
        <v>47</v>
      </c>
      <c r="C29" s="278">
        <f>IF(Antriebsart1="Verbrenner",0,VLOOKUP("Strom",EnKostList,8,FALSE)*IF(Antriebsart1="Plug-In-Hybrid (PHEV)",VerbElPHEV1,VerbEl_WLTP1)/100*Fahrleistung)</f>
        <v>0</v>
      </c>
      <c r="D29" s="2" t="s">
        <v>142</v>
      </c>
    </row>
    <row r="30" spans="1:6" ht="14.4" thickBot="1" x14ac:dyDescent="0.3">
      <c r="B30" s="64" t="s">
        <v>83</v>
      </c>
      <c r="C30" s="279">
        <f>SUM(C28:C29)</f>
        <v>0</v>
      </c>
      <c r="D30" s="64" t="s">
        <v>142</v>
      </c>
    </row>
    <row r="31" spans="1:6" ht="14.4" thickTop="1" x14ac:dyDescent="0.25">
      <c r="C31" s="10"/>
      <c r="D31" s="2"/>
    </row>
    <row r="32" spans="1:6" x14ac:dyDescent="0.25">
      <c r="B32" s="60" t="s">
        <v>143</v>
      </c>
      <c r="C32" s="145" t="str">
        <f>CONCATENATE("Energieträger: ",Energie1)</f>
        <v xml:space="preserve">Energieträger: </v>
      </c>
      <c r="D32" s="60"/>
      <c r="F32" s="146"/>
    </row>
    <row r="33" spans="1:6" ht="16.2" x14ac:dyDescent="0.35">
      <c r="B33" s="1" t="s">
        <v>144</v>
      </c>
      <c r="C33" s="278">
        <f>IF(Antriebsart1="Plug-In-Hybrid (PHEV)",VerbPHEV1*VLOOKUP(Energie1,CO2List,2,FALSE)/100,CO2_1)*Fahrleistung/1000000</f>
        <v>0</v>
      </c>
      <c r="D33" s="2" t="s">
        <v>145</v>
      </c>
      <c r="F33" s="107"/>
    </row>
    <row r="34" spans="1:6" x14ac:dyDescent="0.25">
      <c r="B34" s="1" t="s">
        <v>121</v>
      </c>
      <c r="C34" s="278">
        <f>C33*Kost_THG</f>
        <v>0</v>
      </c>
      <c r="D34" s="2" t="s">
        <v>142</v>
      </c>
    </row>
    <row r="35" spans="1:6" x14ac:dyDescent="0.25">
      <c r="B35" s="1" t="s">
        <v>146</v>
      </c>
      <c r="C35" s="278">
        <f>IF(Energie1="Strom",0,NOX_1*Fahrleistung*Kost_NOX/1000)</f>
        <v>0</v>
      </c>
      <c r="D35" s="2" t="s">
        <v>142</v>
      </c>
    </row>
    <row r="36" spans="1:6" x14ac:dyDescent="0.25">
      <c r="B36" s="1" t="s">
        <v>67</v>
      </c>
      <c r="C36" s="278">
        <f>IF(Energie1="Strom",0,Partikel1*Fahrleistung*Kost_Partikel/1000)</f>
        <v>0</v>
      </c>
      <c r="D36" s="2" t="s">
        <v>142</v>
      </c>
    </row>
    <row r="37" spans="1:6" ht="14.4" thickBot="1" x14ac:dyDescent="0.3">
      <c r="B37" s="64" t="s">
        <v>83</v>
      </c>
      <c r="C37" s="279">
        <f>SUM(C34:C36)</f>
        <v>0</v>
      </c>
      <c r="D37" s="64" t="s">
        <v>142</v>
      </c>
    </row>
    <row r="38" spans="1:6" ht="14.4" thickTop="1" x14ac:dyDescent="0.25">
      <c r="D38" s="2"/>
    </row>
    <row r="39" spans="1:6" x14ac:dyDescent="0.25">
      <c r="B39" s="60" t="s">
        <v>147</v>
      </c>
      <c r="C39" s="145" t="str">
        <f>CONCATENATE("Energieträger: ",Energie1,IF(Antriebsart1="Plug-In-Hybrid (PHEV)","+Strom",""))</f>
        <v xml:space="preserve">Energieträger: </v>
      </c>
      <c r="D39" s="60"/>
    </row>
    <row r="40" spans="1:6" ht="16.2" x14ac:dyDescent="0.35">
      <c r="B40" s="1" t="s">
        <v>144</v>
      </c>
      <c r="C40" s="278">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v>
      </c>
      <c r="D40" s="2" t="s">
        <v>145</v>
      </c>
      <c r="F40" s="107"/>
    </row>
    <row r="41" spans="1:6" x14ac:dyDescent="0.25">
      <c r="B41" s="1" t="s">
        <v>148</v>
      </c>
      <c r="C41" s="278">
        <f>C40*Kost_THG</f>
        <v>0</v>
      </c>
      <c r="D41" s="2" t="s">
        <v>142</v>
      </c>
    </row>
    <row r="43" spans="1:6" x14ac:dyDescent="0.25">
      <c r="B43" s="154" t="s">
        <v>149</v>
      </c>
      <c r="C43" s="89"/>
      <c r="D43" s="89"/>
      <c r="F43" s="107"/>
    </row>
    <row r="44" spans="1:6" x14ac:dyDescent="0.25">
      <c r="B44" s="30"/>
      <c r="C44" s="30"/>
      <c r="D44" s="30"/>
    </row>
    <row r="45" spans="1:6" x14ac:dyDescent="0.25">
      <c r="A45" s="107"/>
      <c r="B45" s="90" t="s">
        <v>150</v>
      </c>
      <c r="C45" s="134" t="s">
        <v>151</v>
      </c>
      <c r="D45" s="62"/>
    </row>
    <row r="46" spans="1:6" ht="16.2" customHeight="1" x14ac:dyDescent="0.25">
      <c r="A46" s="390" t="s">
        <v>11</v>
      </c>
      <c r="B46" s="467" t="s">
        <v>144</v>
      </c>
      <c r="C46" s="280">
        <f>IF(OR(Antriebsart1="Vollelektrisch (BEV)",Antriebsart1="Plug-In-Hybrid (PHEV)"),Batterie1*Batterie_THG/1000,0)</f>
        <v>0</v>
      </c>
      <c r="D46" s="131" t="s">
        <v>152</v>
      </c>
      <c r="E46" s="127"/>
      <c r="F46" s="107"/>
    </row>
    <row r="47" spans="1:6" ht="16.2" customHeight="1" x14ac:dyDescent="0.25">
      <c r="A47" s="390"/>
      <c r="B47" s="468"/>
      <c r="C47" s="280" t="e">
        <f>IF((Fahrleistung*16)&lt;220000,C46*10^6/(Fahrleistung*16),C46*10^6/220000)</f>
        <v>#DIV/0!</v>
      </c>
      <c r="D47" s="130" t="s">
        <v>153</v>
      </c>
      <c r="E47" s="127"/>
      <c r="F47" s="107"/>
    </row>
    <row r="48" spans="1:6" x14ac:dyDescent="0.25">
      <c r="B48" s="1" t="s">
        <v>154</v>
      </c>
      <c r="C48" s="278" t="e">
        <f>IF(C47*Fahrleistung/10^6*Haltedauer&lt;C46, C47*Fahrleistung/10^6*Kost_THG, C46/Haltedauer*Kost_THG)</f>
        <v>#DIV/0!</v>
      </c>
      <c r="D48" s="2" t="s">
        <v>142</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Jahre)</v>
      </c>
      <c r="C51" s="89"/>
      <c r="D51" s="89"/>
    </row>
    <row r="52" spans="1:6" x14ac:dyDescent="0.25">
      <c r="B52" s="1" t="s">
        <v>155</v>
      </c>
    </row>
    <row r="54" spans="1:6" x14ac:dyDescent="0.25">
      <c r="B54" s="68" t="s">
        <v>156</v>
      </c>
      <c r="C54" s="281">
        <f>IF(FinArt="Kauf",IF(KaufpreisRech="Kaufpreis",Gesamtpreis1,0),Gesamtpreis1*Haltedauer*12+IF(FinArt="Leasing",LeasSondZahl1,0))</f>
        <v>0</v>
      </c>
      <c r="D54" s="68" t="s">
        <v>57</v>
      </c>
      <c r="F54" s="58"/>
    </row>
    <row r="55" spans="1:6" ht="14.4" x14ac:dyDescent="0.25">
      <c r="A55" s="304" t="s">
        <v>11</v>
      </c>
      <c r="B55" s="1" t="s">
        <v>430</v>
      </c>
      <c r="C55" s="282">
        <f>IF(AND(KaufpreisRech="Wertminderung",FinArt="Kauf"),Gesamtpreis1-Gesamtpreis1*(-0.2*LN(Haltedauer)+0.667),0)</f>
        <v>0</v>
      </c>
      <c r="D55" s="1" t="s">
        <v>57</v>
      </c>
      <c r="F55" s="58"/>
    </row>
    <row r="56" spans="1:6" ht="13.8" customHeight="1" x14ac:dyDescent="0.25">
      <c r="B56" s="1" t="s">
        <v>79</v>
      </c>
      <c r="C56" s="282">
        <f>C30*Haltedauer</f>
        <v>0</v>
      </c>
      <c r="D56" s="1" t="s">
        <v>57</v>
      </c>
      <c r="F56" s="58"/>
    </row>
    <row r="57" spans="1:6" x14ac:dyDescent="0.25">
      <c r="B57" s="1" t="s">
        <v>157</v>
      </c>
      <c r="C57" s="282">
        <f>C37*Haltedauer</f>
        <v>0</v>
      </c>
      <c r="D57" s="1" t="s">
        <v>57</v>
      </c>
      <c r="F57" s="58"/>
    </row>
    <row r="58" spans="1:6" x14ac:dyDescent="0.25">
      <c r="B58" s="1" t="s">
        <v>148</v>
      </c>
      <c r="C58" s="282">
        <f>C41*Haltedauer</f>
        <v>0</v>
      </c>
      <c r="D58" s="1" t="s">
        <v>57</v>
      </c>
      <c r="F58" s="58"/>
    </row>
    <row r="59" spans="1:6" x14ac:dyDescent="0.25">
      <c r="B59" s="328" t="s">
        <v>82</v>
      </c>
      <c r="C59" s="329" t="e">
        <f>C48*Haltedauer</f>
        <v>#DIV/0!</v>
      </c>
      <c r="D59" s="328" t="s">
        <v>57</v>
      </c>
      <c r="F59" s="147"/>
    </row>
    <row r="60" spans="1:6" ht="13.8" customHeight="1" x14ac:dyDescent="0.25">
      <c r="A60" s="390" t="s">
        <v>11</v>
      </c>
      <c r="B60" s="326" t="str">
        <f>IF(ISBLANK(Zusatzangabe_x), "", Zusatzangabe_x)</f>
        <v/>
      </c>
      <c r="C60" s="327" t="str">
        <f>IF(ISBLANK(Zusatzangabe_x), "", Zusatzangabe_x1*Haltedauer)</f>
        <v/>
      </c>
      <c r="D60" s="326" t="str">
        <f>IF(ISBLANK(Zusatzangabe_x), "", "EUR")</f>
        <v/>
      </c>
      <c r="F60" s="147"/>
    </row>
    <row r="61" spans="1:6" ht="13.8" customHeight="1" x14ac:dyDescent="0.25">
      <c r="A61" s="390"/>
      <c r="B61" s="326" t="str">
        <f>IF(ISBLANK(Zusatzangabe_y), "", Zusatzangabe_y)</f>
        <v/>
      </c>
      <c r="C61" s="327" t="str">
        <f>IF(ISBLANK(Zusatzangabe_y), "", Zusatzangabe_y1*Haltedauer)</f>
        <v/>
      </c>
      <c r="D61" s="326" t="str">
        <f>IF(ISBLANK(Zusatzangabe_y), "", "EUR")</f>
        <v/>
      </c>
      <c r="F61" s="147"/>
    </row>
    <row r="62" spans="1:6" x14ac:dyDescent="0.25">
      <c r="A62" s="390"/>
      <c r="B62" s="326" t="str">
        <f>IF(ISBLANK(Zusatzangabe_z), "", Zusatzangabe_z)</f>
        <v/>
      </c>
      <c r="C62" s="327" t="str">
        <f>IF(ISBLANK(Zusatzangabe_z), "", Zusatzangabe_z1*Haltedauer)</f>
        <v/>
      </c>
      <c r="D62" s="326" t="str">
        <f>IF(ISBLANK(Zusatzangabe_z), "", "EUR")</f>
        <v/>
      </c>
      <c r="F62" s="147"/>
    </row>
    <row r="63" spans="1:6" ht="14.4" thickBot="1" x14ac:dyDescent="0.3">
      <c r="B63" s="64" t="s">
        <v>83</v>
      </c>
      <c r="C63" s="283" t="e">
        <f>SUM(C54:C62)</f>
        <v>#DIV/0!</v>
      </c>
      <c r="D63" s="64" t="s">
        <v>57</v>
      </c>
      <c r="F63" s="58"/>
    </row>
    <row r="64" spans="1:6" ht="14.4" thickTop="1" x14ac:dyDescent="0.25">
      <c r="C64" s="10"/>
    </row>
    <row r="65" spans="2:4" ht="16.2" x14ac:dyDescent="0.35">
      <c r="B65" s="68" t="s">
        <v>158</v>
      </c>
      <c r="C65" s="284" t="e">
        <f>IF(C47*Fahrleistung/10^6*Haltedauer&lt;C46, C47*Fahrleistung/10^6*Haltedauer, C46)</f>
        <v>#DIV/0!</v>
      </c>
      <c r="D65" s="68" t="s">
        <v>159</v>
      </c>
    </row>
    <row r="66" spans="2:4" ht="16.2" x14ac:dyDescent="0.35">
      <c r="B66" s="72" t="s">
        <v>88</v>
      </c>
      <c r="C66" s="285">
        <f>C33*Haltedauer+C40*Haltedauer</f>
        <v>0</v>
      </c>
      <c r="D66" s="72" t="s">
        <v>159</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428</v>
      </c>
      <c r="E2" s="106" t="s">
        <v>20</v>
      </c>
      <c r="F2" s="125"/>
    </row>
    <row r="3" spans="1:6" x14ac:dyDescent="0.25">
      <c r="E3" s="125"/>
      <c r="F3" s="125"/>
    </row>
    <row r="4" spans="1:6" x14ac:dyDescent="0.25">
      <c r="B4" s="154" t="s">
        <v>130</v>
      </c>
      <c r="C4" s="3"/>
      <c r="D4" s="3"/>
      <c r="E4" s="125"/>
      <c r="F4" s="125"/>
    </row>
    <row r="5" spans="1:6" x14ac:dyDescent="0.25">
      <c r="E5" s="125"/>
      <c r="F5" s="125" t="str">
        <f>IF(Antriebsart2="Vollelektrisch (BEV)","Strom","nicht verfügbar")</f>
        <v>nicht verfügbar</v>
      </c>
    </row>
    <row r="6" spans="1:6" x14ac:dyDescent="0.25">
      <c r="B6" s="2" t="s">
        <v>41</v>
      </c>
      <c r="C6" s="54">
        <v>2</v>
      </c>
      <c r="E6" s="125"/>
      <c r="F6" s="125" t="str">
        <f>IF(OR(Antriebsart2="Verbrenner",Antriebsart2="Plug-In-Hybrid (PHEV)"),"Diesel","nicht verfügbar")</f>
        <v>nicht verfügbar</v>
      </c>
    </row>
    <row r="7" spans="1:6" x14ac:dyDescent="0.25">
      <c r="B7" s="1" t="s">
        <v>50</v>
      </c>
      <c r="C7" s="102" t="str">
        <f>IF(Anbieter2=0,"",Anbieter2)</f>
        <v/>
      </c>
      <c r="E7" s="125"/>
      <c r="F7" s="125" t="str">
        <f>IF(OR(Antriebsart2="Verbrenner",Antriebsart2="Plug-In-Hybrid (PHEV)"),"Benzin","nicht verfügbar")</f>
        <v>nicht verfügbar</v>
      </c>
    </row>
    <row r="8" spans="1:6" x14ac:dyDescent="0.25">
      <c r="C8" s="102"/>
      <c r="E8" s="125"/>
      <c r="F8" s="125" t="str">
        <f>IF(Antriebsart2="Verbrenner","Erdgas (CNG)","nicht verfügbar")</f>
        <v>nicht verfügbar</v>
      </c>
    </row>
    <row r="9" spans="1:6" x14ac:dyDescent="0.25">
      <c r="B9" s="2" t="s">
        <v>131</v>
      </c>
      <c r="C9" s="102"/>
      <c r="E9" s="125"/>
      <c r="F9" s="125"/>
    </row>
    <row r="10" spans="1:6" x14ac:dyDescent="0.25">
      <c r="B10" s="1" t="s">
        <v>132</v>
      </c>
      <c r="C10" s="102" t="str">
        <f>IF(Hersteller2=0,"",Hersteller2)</f>
        <v/>
      </c>
      <c r="D10" s="55"/>
      <c r="E10" s="125"/>
      <c r="F10" s="125"/>
    </row>
    <row r="11" spans="1:6" x14ac:dyDescent="0.25">
      <c r="B11" s="1" t="s">
        <v>52</v>
      </c>
      <c r="C11" s="102" t="str">
        <f>IF(Modell2=0,"",Modell2)</f>
        <v/>
      </c>
      <c r="D11" s="55"/>
      <c r="E11" s="125"/>
      <c r="F11" s="125"/>
    </row>
    <row r="12" spans="1:6" ht="43.95" customHeight="1" x14ac:dyDescent="0.25">
      <c r="B12" s="56" t="s">
        <v>133</v>
      </c>
      <c r="C12" s="102" t="str">
        <f>IF(Zusatzinfo2=0,"",Zusatzinfo2)</f>
        <v/>
      </c>
      <c r="D12" s="55"/>
      <c r="E12" s="125"/>
      <c r="F12" s="125"/>
    </row>
    <row r="13" spans="1:6" x14ac:dyDescent="0.25">
      <c r="B13" s="57" t="s">
        <v>42</v>
      </c>
      <c r="C13" s="102" t="str">
        <f>IF(Antriebsart2=0,"",Antriebsart2)</f>
        <v/>
      </c>
      <c r="E13" s="125"/>
      <c r="F13" s="125"/>
    </row>
    <row r="14" spans="1:6" x14ac:dyDescent="0.25">
      <c r="B14" s="2" t="s">
        <v>46</v>
      </c>
      <c r="C14" s="102" t="str">
        <f>IF(Energie2=0,"",Energie2)</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7">
        <f>0.0057*(ReichwPHEV2/23)^3-0.0838*(ReichwPHEV2/23)^2+0.4261*(ReichwPHEV2/23)+ 0.1633</f>
        <v>0.1633</v>
      </c>
      <c r="D18" s="184"/>
      <c r="E18" s="125"/>
      <c r="F18" s="125"/>
    </row>
    <row r="19" spans="1:6" x14ac:dyDescent="0.25">
      <c r="B19" s="1" t="s">
        <v>136</v>
      </c>
      <c r="C19" s="288">
        <f>Verbrauch2/(1-0.9*C18)</f>
        <v>0</v>
      </c>
      <c r="D19" s="7" t="s">
        <v>61</v>
      </c>
      <c r="E19" s="125"/>
      <c r="F19" s="125"/>
    </row>
    <row r="20" spans="1:6" x14ac:dyDescent="0.25">
      <c r="B20" s="72" t="s">
        <v>137</v>
      </c>
      <c r="C20" s="289">
        <f>VerbEl_WLTP2/C18</f>
        <v>0</v>
      </c>
      <c r="D20" s="184" t="s">
        <v>62</v>
      </c>
      <c r="E20" s="125"/>
      <c r="F20" s="125"/>
    </row>
    <row r="21" spans="1:6" x14ac:dyDescent="0.25">
      <c r="B21" s="186" t="s">
        <v>138</v>
      </c>
      <c r="C21" s="290">
        <f>0.0021*(ReichwPHEV2/23)^3-0.0358*(ReichwPHEV2/23)^2+0.2607*(ReichwPHEV2/23)- 0.0267</f>
        <v>-2.6700000000000002E-2</v>
      </c>
      <c r="D21" s="187"/>
      <c r="E21" s="125"/>
      <c r="F21" s="125"/>
    </row>
    <row r="22" spans="1:6" x14ac:dyDescent="0.25">
      <c r="A22" s="470" t="s">
        <v>11</v>
      </c>
      <c r="B22" s="469" t="s">
        <v>139</v>
      </c>
      <c r="C22" s="291">
        <f>C19*(1-0.9*C21)</f>
        <v>0</v>
      </c>
      <c r="D22" s="185" t="s">
        <v>61</v>
      </c>
      <c r="E22" s="125"/>
      <c r="F22" s="125"/>
    </row>
    <row r="23" spans="1:6" x14ac:dyDescent="0.25">
      <c r="A23" s="470"/>
      <c r="B23" s="429"/>
      <c r="C23" s="291">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8">
        <f>IF(Antriebsart2="Vollelektrisch (BEV)",0,IFERROR(VLOOKUP(Energie2,EnKostList,8,FALSE),0)*IF(Antriebsart2="Plug-In-Hybrid (PHEV)",VerbPHEV2,Verbrauch2)/100*Fahrleistung)</f>
        <v>0</v>
      </c>
      <c r="D28" s="2" t="s">
        <v>142</v>
      </c>
      <c r="E28" s="125"/>
      <c r="F28" s="125"/>
    </row>
    <row r="29" spans="1:6" x14ac:dyDescent="0.25">
      <c r="B29" s="1" t="s">
        <v>47</v>
      </c>
      <c r="C29" s="278">
        <f>IF(Antriebsart2="Verbrenner",0,VLOOKUP("Strom",EnKostList,8,FALSE)*IF(Antriebsart2="Plug-In-Hybrid (PHEV)",VerbElPHEV2,VerbEl_WLTP2)/100*Fahrleistung)</f>
        <v>0</v>
      </c>
      <c r="D29" s="2" t="s">
        <v>142</v>
      </c>
      <c r="E29" s="125"/>
      <c r="F29" s="125"/>
    </row>
    <row r="30" spans="1:6" ht="14.4" thickBot="1" x14ac:dyDescent="0.3">
      <c r="B30" s="64" t="s">
        <v>83</v>
      </c>
      <c r="C30" s="279">
        <f>SUM(C28:C29)</f>
        <v>0</v>
      </c>
      <c r="D30" s="64" t="s">
        <v>142</v>
      </c>
      <c r="E30" s="125"/>
      <c r="F30" s="125"/>
    </row>
    <row r="31" spans="1:6" ht="14.4" thickTop="1" x14ac:dyDescent="0.25">
      <c r="C31" s="10"/>
      <c r="D31" s="2"/>
      <c r="E31" s="125"/>
      <c r="F31" s="125"/>
    </row>
    <row r="32" spans="1:6" x14ac:dyDescent="0.25">
      <c r="B32" s="60" t="s">
        <v>143</v>
      </c>
      <c r="C32" s="145" t="str">
        <f>CONCATENATE("Energieträger: ",Energie2)</f>
        <v xml:space="preserve">Energieträger: </v>
      </c>
      <c r="D32" s="60"/>
      <c r="E32" s="125"/>
      <c r="F32" s="125"/>
    </row>
    <row r="33" spans="1:6" ht="16.2" x14ac:dyDescent="0.35">
      <c r="B33" s="1" t="s">
        <v>144</v>
      </c>
      <c r="C33" s="278">
        <f>IF(Antriebsart2="Plug-In-Hybrid (PHEV)",VerbPHEV2*VLOOKUP(Energie2,CO2List,2,FALSE)/100,CO2_2)*Fahrleistung/1000000</f>
        <v>0</v>
      </c>
      <c r="D33" s="2" t="s">
        <v>145</v>
      </c>
      <c r="E33" s="125"/>
      <c r="F33" s="125"/>
    </row>
    <row r="34" spans="1:6" x14ac:dyDescent="0.25">
      <c r="B34" s="1" t="s">
        <v>121</v>
      </c>
      <c r="C34" s="278">
        <f>C33*Kost_THG</f>
        <v>0</v>
      </c>
      <c r="D34" s="2" t="s">
        <v>142</v>
      </c>
      <c r="E34" s="125"/>
      <c r="F34" s="125"/>
    </row>
    <row r="35" spans="1:6" x14ac:dyDescent="0.25">
      <c r="B35" s="7" t="s">
        <v>146</v>
      </c>
      <c r="C35" s="286">
        <f>IF(Energie2="Strom",0,NOX_2*Fahrleistung*Kost_NOX/1000)</f>
        <v>0</v>
      </c>
      <c r="D35" s="65" t="s">
        <v>142</v>
      </c>
      <c r="E35" s="125"/>
      <c r="F35" s="125"/>
    </row>
    <row r="36" spans="1:6" x14ac:dyDescent="0.25">
      <c r="B36" s="7" t="s">
        <v>67</v>
      </c>
      <c r="C36" s="286">
        <f>IF(Energie2="Strom",0,Partikel2*Fahrleistung*Kost_Partikel/1000)</f>
        <v>0</v>
      </c>
      <c r="D36" s="65" t="s">
        <v>142</v>
      </c>
      <c r="E36" s="125"/>
      <c r="F36" s="125"/>
    </row>
    <row r="37" spans="1:6" ht="14.4" thickBot="1" x14ac:dyDescent="0.3">
      <c r="B37" s="64" t="s">
        <v>83</v>
      </c>
      <c r="C37" s="279">
        <f>SUM(C34:C36)</f>
        <v>0</v>
      </c>
      <c r="D37" s="64" t="s">
        <v>142</v>
      </c>
      <c r="E37" s="125"/>
      <c r="F37" s="125"/>
    </row>
    <row r="38" spans="1:6" ht="14.4" thickTop="1" x14ac:dyDescent="0.25">
      <c r="B38" s="14"/>
      <c r="D38" s="2"/>
      <c r="E38" s="125"/>
      <c r="F38" s="125"/>
    </row>
    <row r="39" spans="1:6" x14ac:dyDescent="0.25">
      <c r="B39" s="60" t="s">
        <v>147</v>
      </c>
      <c r="C39" s="145" t="str">
        <f>CONCATENATE("Energieträger: ",Energie2,IF(Antriebsart2="Plug-In-Hybrid (PHEV)","+Strom",""))</f>
        <v xml:space="preserve">Energieträger: </v>
      </c>
      <c r="D39" s="60"/>
      <c r="E39" s="125"/>
      <c r="F39" s="125"/>
    </row>
    <row r="40" spans="1:6" ht="16.2" x14ac:dyDescent="0.35">
      <c r="B40" s="1" t="s">
        <v>144</v>
      </c>
      <c r="C40" s="278">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v>
      </c>
      <c r="D40" s="2" t="s">
        <v>145</v>
      </c>
      <c r="E40" s="125"/>
      <c r="F40" s="125"/>
    </row>
    <row r="41" spans="1:6" x14ac:dyDescent="0.25">
      <c r="B41" s="1" t="s">
        <v>148</v>
      </c>
      <c r="C41" s="278">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0" t="s">
        <v>11</v>
      </c>
      <c r="B46" s="467" t="s">
        <v>144</v>
      </c>
      <c r="C46" s="280">
        <f>IF(OR(Antriebsart2="Vollelektrisch (BEV)",Antriebsart2="Plug-In-Hybrid (PHEV)"),Batterie2*Batterie_THG/1000,0)</f>
        <v>0</v>
      </c>
      <c r="D46" s="131" t="s">
        <v>152</v>
      </c>
      <c r="E46" s="127"/>
      <c r="F46" s="125"/>
    </row>
    <row r="47" spans="1:6" s="67" customFormat="1" ht="16.2" x14ac:dyDescent="0.25">
      <c r="A47" s="390"/>
      <c r="B47" s="468"/>
      <c r="C47" s="280" t="e">
        <f>IF((Fahrleistung*16)&lt;220000,C46*10^6/(Fahrleistung*16),C46*10^6/220000)</f>
        <v>#DIV/0!</v>
      </c>
      <c r="D47" s="130" t="s">
        <v>153</v>
      </c>
      <c r="E47" s="127"/>
      <c r="F47" s="125"/>
    </row>
    <row r="48" spans="1:6" x14ac:dyDescent="0.25">
      <c r="B48" s="1" t="s">
        <v>154</v>
      </c>
      <c r="C48" s="278"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1">
        <f>IF(FinArt="Kauf",IF(KaufpreisRech="Kaufpreis",Gesamtpreis2,0),Gesamtpreis2*Haltedauer*12+IF(FinArt="Leasing",LeasSondZahl2,0))</f>
        <v>0</v>
      </c>
      <c r="D54" s="68" t="s">
        <v>57</v>
      </c>
      <c r="E54" s="69"/>
      <c r="F54" s="58"/>
    </row>
    <row r="55" spans="1:6" s="71" customFormat="1" ht="14.4" x14ac:dyDescent="0.25">
      <c r="A55" s="304" t="s">
        <v>11</v>
      </c>
      <c r="B55" s="1" t="s">
        <v>430</v>
      </c>
      <c r="C55" s="282">
        <f>IF(AND(KaufpreisRech="Wertminderung",FinArt="Kauf"),Gesamtpreis2-Gesamtpreis2*(-0.2*LN(Haltedauer)+0.667),0)</f>
        <v>0</v>
      </c>
      <c r="D55" s="1" t="s">
        <v>57</v>
      </c>
      <c r="E55" s="125"/>
      <c r="F55" s="73"/>
    </row>
    <row r="56" spans="1:6" x14ac:dyDescent="0.25">
      <c r="B56" s="1" t="s">
        <v>79</v>
      </c>
      <c r="C56" s="282">
        <f>C30*Haltedauer</f>
        <v>0</v>
      </c>
      <c r="D56" s="1" t="s">
        <v>57</v>
      </c>
      <c r="F56" s="73"/>
    </row>
    <row r="57" spans="1:6" x14ac:dyDescent="0.25">
      <c r="B57" s="1" t="s">
        <v>157</v>
      </c>
      <c r="C57" s="282">
        <f>C37*Haltedauer</f>
        <v>0</v>
      </c>
      <c r="D57" s="1" t="s">
        <v>57</v>
      </c>
      <c r="F57" s="58"/>
    </row>
    <row r="58" spans="1:6" x14ac:dyDescent="0.25">
      <c r="B58" s="1" t="s">
        <v>148</v>
      </c>
      <c r="C58" s="282">
        <f>C41*Haltedauer</f>
        <v>0</v>
      </c>
      <c r="D58" s="1" t="s">
        <v>57</v>
      </c>
      <c r="F58" s="58"/>
    </row>
    <row r="59" spans="1:6" x14ac:dyDescent="0.25">
      <c r="B59" s="328" t="s">
        <v>82</v>
      </c>
      <c r="C59" s="329" t="e">
        <f>C48*Haltedauer</f>
        <v>#DIV/0!</v>
      </c>
      <c r="D59" s="328" t="s">
        <v>57</v>
      </c>
      <c r="F59" s="147"/>
    </row>
    <row r="60" spans="1:6" x14ac:dyDescent="0.25">
      <c r="A60" s="390" t="s">
        <v>11</v>
      </c>
      <c r="B60" s="326" t="str">
        <f>IF(ISBLANK(Zusatzangabe_x), "", Zusatzangabe_x)</f>
        <v/>
      </c>
      <c r="C60" s="327" t="str">
        <f>IF(ISBLANK(Zusatzangabe_x), "", Zusatzangabe_x2*Haltedauer)</f>
        <v/>
      </c>
      <c r="D60" s="326" t="str">
        <f>IF(ISBLANK(Zusatzangabe_x), "", "EUR")</f>
        <v/>
      </c>
      <c r="F60" s="147"/>
    </row>
    <row r="61" spans="1:6" x14ac:dyDescent="0.25">
      <c r="A61" s="390"/>
      <c r="B61" s="326" t="str">
        <f>IF(ISBLANK(Zusatzangabe_y), "", Zusatzangabe_y)</f>
        <v/>
      </c>
      <c r="C61" s="327" t="str">
        <f>IF(ISBLANK(Zusatzangabe_y), "", Zusatzangabe_y2*Haltedauer)</f>
        <v/>
      </c>
      <c r="D61" s="326" t="str">
        <f>IF(ISBLANK(Zusatzangabe_y), "", "EUR")</f>
        <v/>
      </c>
      <c r="F61" s="147"/>
    </row>
    <row r="62" spans="1:6" x14ac:dyDescent="0.25">
      <c r="A62" s="390"/>
      <c r="B62" s="326" t="str">
        <f>IF(ISBLANK(Zusatzangabe_z), "", Zusatzangabe_z)</f>
        <v/>
      </c>
      <c r="C62" s="327" t="str">
        <f>IF(ISBLANK(Zusatzangabe_z), "", Zusatzangabe_z2*Haltedauer)</f>
        <v/>
      </c>
      <c r="D62" s="326" t="str">
        <f>IF(ISBLANK(Zusatzangabe_z), "", "EUR")</f>
        <v/>
      </c>
      <c r="F62" s="147"/>
    </row>
    <row r="63" spans="1:6" ht="14.4" thickBot="1" x14ac:dyDescent="0.3">
      <c r="B63" s="64" t="s">
        <v>83</v>
      </c>
      <c r="C63" s="283" t="e">
        <f>SUM(C54:C62)</f>
        <v>#DIV/0!</v>
      </c>
      <c r="D63" s="64" t="s">
        <v>57</v>
      </c>
      <c r="E63" s="14"/>
      <c r="F63" s="58"/>
    </row>
    <row r="64" spans="1:6" s="59" customFormat="1" ht="14.4" thickTop="1" x14ac:dyDescent="0.25">
      <c r="A64" s="1"/>
      <c r="B64" s="1"/>
      <c r="C64" s="10"/>
      <c r="D64" s="1"/>
      <c r="E64" s="14"/>
      <c r="F64" s="1"/>
    </row>
    <row r="65" spans="2:5" ht="16.2" x14ac:dyDescent="0.35">
      <c r="B65" s="68" t="s">
        <v>158</v>
      </c>
      <c r="C65" s="284" t="e">
        <f>IF(C47*Fahrleistung/10^6*Haltedauer&lt;C46, C47*Fahrleistung/10^6*Haltedauer, C46)</f>
        <v>#DIV/0!</v>
      </c>
      <c r="D65" s="68" t="s">
        <v>159</v>
      </c>
    </row>
    <row r="66" spans="2:5" ht="16.2" x14ac:dyDescent="0.35">
      <c r="B66" s="72" t="s">
        <v>88</v>
      </c>
      <c r="C66" s="285">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427</v>
      </c>
      <c r="E2" s="106" t="s">
        <v>20</v>
      </c>
      <c r="F2" s="125"/>
    </row>
    <row r="3" spans="1:6" x14ac:dyDescent="0.25">
      <c r="E3" s="125"/>
      <c r="F3" s="125"/>
    </row>
    <row r="4" spans="1:6" x14ac:dyDescent="0.25">
      <c r="B4" s="154" t="s">
        <v>130</v>
      </c>
      <c r="C4" s="3"/>
      <c r="D4" s="3"/>
      <c r="E4" s="125"/>
      <c r="F4" s="125"/>
    </row>
    <row r="5" spans="1:6" x14ac:dyDescent="0.25">
      <c r="E5" s="125"/>
      <c r="F5" s="125" t="str">
        <f>IF(Antriebsart3="Vollelektrisch (BEV)","Strom","nicht verfügbar")</f>
        <v>nicht verfügbar</v>
      </c>
    </row>
    <row r="6" spans="1:6" x14ac:dyDescent="0.25">
      <c r="B6" s="2" t="s">
        <v>41</v>
      </c>
      <c r="C6" s="54">
        <v>3</v>
      </c>
      <c r="E6" s="125"/>
      <c r="F6" s="125" t="str">
        <f>IF(OR(Antriebsart3="Verbrenner",Antriebsart3="Plug-In-Hybrid (PHEV)"),"Diesel","nicht verfügbar")</f>
        <v>nicht verfügbar</v>
      </c>
    </row>
    <row r="7" spans="1:6" x14ac:dyDescent="0.25">
      <c r="B7" s="1" t="s">
        <v>50</v>
      </c>
      <c r="C7" s="102" t="str">
        <f>IF(Anbieter3=0,"",Anbieter3)</f>
        <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131</v>
      </c>
      <c r="C9" s="102"/>
      <c r="E9" s="125"/>
      <c r="F9" s="125"/>
    </row>
    <row r="10" spans="1:6" x14ac:dyDescent="0.25">
      <c r="B10" s="1" t="s">
        <v>132</v>
      </c>
      <c r="C10" s="102" t="str">
        <f>IF(Hersteller3=0,"",Hersteller3)</f>
        <v/>
      </c>
      <c r="D10" s="55"/>
      <c r="E10" s="125"/>
      <c r="F10" s="125"/>
    </row>
    <row r="11" spans="1:6" x14ac:dyDescent="0.25">
      <c r="B11" s="1" t="s">
        <v>52</v>
      </c>
      <c r="C11" s="102" t="str">
        <f>IF(Modell3=0,"",Modell3)</f>
        <v/>
      </c>
      <c r="D11" s="55"/>
      <c r="E11" s="125"/>
      <c r="F11" s="125"/>
    </row>
    <row r="12" spans="1:6" ht="43.95" customHeight="1" x14ac:dyDescent="0.25">
      <c r="B12" s="56" t="s">
        <v>133</v>
      </c>
      <c r="C12" s="102" t="str">
        <f>IF(Zusatzinfo3=0,"",Zusatzinfo3)</f>
        <v/>
      </c>
      <c r="D12" s="55"/>
      <c r="E12" s="125"/>
      <c r="F12" s="125"/>
    </row>
    <row r="13" spans="1:6" x14ac:dyDescent="0.25">
      <c r="B13" s="57" t="s">
        <v>42</v>
      </c>
      <c r="C13" s="102" t="str">
        <f>IF(Antriebsart3=0,"",Antriebsart3)</f>
        <v/>
      </c>
      <c r="E13" s="125"/>
      <c r="F13" s="125"/>
    </row>
    <row r="14" spans="1:6" x14ac:dyDescent="0.25">
      <c r="B14" s="2" t="s">
        <v>46</v>
      </c>
      <c r="C14" s="102" t="str">
        <f>IF(Energie3=0,"",Energie3)</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7">
        <f>0.0057*(ReichwPHEV3/23)^3-0.0838*(ReichwPHEV3/23)^2+0.4261*(ReichwPHEV3/23)+ 0.1633</f>
        <v>0.1633</v>
      </c>
      <c r="D18" s="184"/>
      <c r="E18" s="125"/>
      <c r="F18" s="125"/>
    </row>
    <row r="19" spans="1:6" x14ac:dyDescent="0.25">
      <c r="B19" s="1" t="s">
        <v>136</v>
      </c>
      <c r="C19" s="288">
        <f>Verbrauch3/(1-0.9*C18)</f>
        <v>0</v>
      </c>
      <c r="D19" s="7" t="s">
        <v>61</v>
      </c>
      <c r="E19" s="125"/>
      <c r="F19" s="125"/>
    </row>
    <row r="20" spans="1:6" x14ac:dyDescent="0.25">
      <c r="B20" s="72" t="s">
        <v>137</v>
      </c>
      <c r="C20" s="289">
        <f>VerbEl_WLTP3/C18</f>
        <v>0</v>
      </c>
      <c r="D20" s="184" t="s">
        <v>62</v>
      </c>
      <c r="E20" s="125"/>
      <c r="F20" s="125"/>
    </row>
    <row r="21" spans="1:6" x14ac:dyDescent="0.25">
      <c r="B21" s="186" t="s">
        <v>138</v>
      </c>
      <c r="C21" s="290">
        <f>0.0021*(ReichwPHEV3/23)^3-0.0358*(ReichwPHEV3/23)^2+0.2607*(ReichwPHEV3/23)- 0.0267</f>
        <v>-2.6700000000000002E-2</v>
      </c>
      <c r="D21" s="187"/>
      <c r="E21" s="125"/>
      <c r="F21" s="125"/>
    </row>
    <row r="22" spans="1:6" x14ac:dyDescent="0.25">
      <c r="A22" s="470" t="s">
        <v>11</v>
      </c>
      <c r="B22" s="469" t="s">
        <v>139</v>
      </c>
      <c r="C22" s="291">
        <f>C19*(1-0.9*C21)</f>
        <v>0</v>
      </c>
      <c r="D22" s="185" t="s">
        <v>61</v>
      </c>
      <c r="E22" s="125"/>
      <c r="F22" s="125"/>
    </row>
    <row r="23" spans="1:6" x14ac:dyDescent="0.25">
      <c r="A23" s="470"/>
      <c r="B23" s="429"/>
      <c r="C23" s="291">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8">
        <f>IF(Antriebsart3="Vollelektrisch (BEV)",0,IFERROR(VLOOKUP(Energie3,EnKostList,8,FALSE),0)*IF(Antriebsart3="Plug-In-Hybrid (PHEV)",VerbPHEV3,Verbrauch3)/100*Fahrleistung)</f>
        <v>0</v>
      </c>
      <c r="D28" s="2" t="s">
        <v>142</v>
      </c>
      <c r="E28" s="125"/>
      <c r="F28" s="125"/>
    </row>
    <row r="29" spans="1:6" x14ac:dyDescent="0.25">
      <c r="B29" s="1" t="s">
        <v>47</v>
      </c>
      <c r="C29" s="278">
        <f>IF(Antriebsart3="Verbrenner",0,VLOOKUP("Strom",EnKostList,8,FALSE)*IF(Antriebsart3="Plug-In-Hybrid (PHEV)",VerbElPHEV3,VerbEl_WLTP3)/100*Fahrleistung)</f>
        <v>0</v>
      </c>
      <c r="D29" s="2" t="s">
        <v>142</v>
      </c>
      <c r="E29" s="125"/>
      <c r="F29" s="125"/>
    </row>
    <row r="30" spans="1:6" ht="14.4" thickBot="1" x14ac:dyDescent="0.3">
      <c r="B30" s="64" t="s">
        <v>83</v>
      </c>
      <c r="C30" s="279">
        <f>SUM(C28:C29)</f>
        <v>0</v>
      </c>
      <c r="D30" s="64" t="s">
        <v>142</v>
      </c>
      <c r="E30" s="125"/>
      <c r="F30" s="125"/>
    </row>
    <row r="31" spans="1:6" ht="14.4" thickTop="1" x14ac:dyDescent="0.25">
      <c r="C31" s="10"/>
      <c r="D31" s="2"/>
      <c r="E31" s="125"/>
      <c r="F31" s="125"/>
    </row>
    <row r="32" spans="1:6" x14ac:dyDescent="0.25">
      <c r="B32" s="60" t="s">
        <v>143</v>
      </c>
      <c r="C32" s="145" t="str">
        <f>CONCATENATE("Energieträger: ",Energie3)</f>
        <v xml:space="preserve">Energieträger: </v>
      </c>
      <c r="D32" s="60"/>
      <c r="E32" s="125"/>
      <c r="F32" s="125"/>
    </row>
    <row r="33" spans="1:6" ht="16.2" x14ac:dyDescent="0.35">
      <c r="B33" s="1" t="s">
        <v>144</v>
      </c>
      <c r="C33" s="278">
        <f>IF(Antriebsart3="Plug-In-Hybrid (PHEV)",VerbPHEV3*VLOOKUP(Energie3,CO2List,2,FALSE)/100,CO2_3)*Fahrleistung/1000000</f>
        <v>0</v>
      </c>
      <c r="D33" s="2" t="s">
        <v>145</v>
      </c>
      <c r="E33" s="125"/>
      <c r="F33" s="125"/>
    </row>
    <row r="34" spans="1:6" x14ac:dyDescent="0.25">
      <c r="B34" s="1" t="s">
        <v>121</v>
      </c>
      <c r="C34" s="278">
        <f>C33*Kost_THG</f>
        <v>0</v>
      </c>
      <c r="D34" s="2" t="s">
        <v>142</v>
      </c>
      <c r="E34" s="125"/>
      <c r="F34" s="125"/>
    </row>
    <row r="35" spans="1:6" x14ac:dyDescent="0.25">
      <c r="B35" s="7" t="s">
        <v>146</v>
      </c>
      <c r="C35" s="286">
        <f>IF(Energie3="Strom",0,NOX_3*Fahrleistung*Kost_NOX/1000)</f>
        <v>0</v>
      </c>
      <c r="D35" s="65" t="s">
        <v>142</v>
      </c>
      <c r="E35" s="125"/>
      <c r="F35" s="125"/>
    </row>
    <row r="36" spans="1:6" x14ac:dyDescent="0.25">
      <c r="B36" s="7" t="s">
        <v>67</v>
      </c>
      <c r="C36" s="286">
        <f>IF(Energie3="Strom",0,Partikel3*Fahrleistung*Kost_Partikel/1000)</f>
        <v>0</v>
      </c>
      <c r="D36" s="65" t="s">
        <v>142</v>
      </c>
      <c r="E36" s="125"/>
      <c r="F36" s="125"/>
    </row>
    <row r="37" spans="1:6" ht="14.4" thickBot="1" x14ac:dyDescent="0.3">
      <c r="B37" s="64" t="s">
        <v>83</v>
      </c>
      <c r="C37" s="279">
        <f>SUM(C34:C36)</f>
        <v>0</v>
      </c>
      <c r="D37" s="64" t="s">
        <v>142</v>
      </c>
      <c r="E37" s="125"/>
      <c r="F37" s="125"/>
    </row>
    <row r="38" spans="1:6" ht="14.4" thickTop="1" x14ac:dyDescent="0.25">
      <c r="B38" s="14"/>
      <c r="D38" s="2"/>
      <c r="E38" s="125"/>
      <c r="F38" s="125"/>
    </row>
    <row r="39" spans="1:6" x14ac:dyDescent="0.25">
      <c r="B39" s="60" t="s">
        <v>147</v>
      </c>
      <c r="C39" s="145" t="str">
        <f>CONCATENATE("Energieträger: ",Energie3,IF(Antriebsart3="Plug-In-Hybrid (PHEV)","+Strom",""))</f>
        <v xml:space="preserve">Energieträger: </v>
      </c>
      <c r="D39" s="60"/>
      <c r="E39" s="125"/>
      <c r="F39" s="125"/>
    </row>
    <row r="40" spans="1:6" ht="16.2" x14ac:dyDescent="0.35">
      <c r="B40" s="1" t="s">
        <v>144</v>
      </c>
      <c r="C40" s="278">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v>
      </c>
      <c r="D40" s="2" t="s">
        <v>145</v>
      </c>
      <c r="E40" s="125"/>
      <c r="F40" s="125"/>
    </row>
    <row r="41" spans="1:6" x14ac:dyDescent="0.25">
      <c r="B41" s="1" t="s">
        <v>148</v>
      </c>
      <c r="C41" s="278">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0" t="s">
        <v>11</v>
      </c>
      <c r="B46" s="467" t="s">
        <v>144</v>
      </c>
      <c r="C46" s="280">
        <f>IF(OR(Antriebsart3="Vollelektrisch (BEV)",Antriebsart3="Plug-In-Hybrid (PHEV)"),Batterie3*Batterie_THG/1000,0)</f>
        <v>0</v>
      </c>
      <c r="D46" s="131" t="s">
        <v>152</v>
      </c>
      <c r="E46" s="127"/>
      <c r="F46" s="133"/>
    </row>
    <row r="47" spans="1:6" s="67" customFormat="1" ht="16.2" x14ac:dyDescent="0.25">
      <c r="A47" s="390"/>
      <c r="B47" s="468"/>
      <c r="C47" s="280" t="e">
        <f>IF((Fahrleistung*16)&lt;220000,C46*10^6/(Fahrleistung*16),C46*10^6/220000)</f>
        <v>#DIV/0!</v>
      </c>
      <c r="D47" s="130" t="s">
        <v>153</v>
      </c>
      <c r="E47" s="127"/>
      <c r="F47" s="133"/>
    </row>
    <row r="48" spans="1:6" x14ac:dyDescent="0.25">
      <c r="B48" s="1" t="s">
        <v>154</v>
      </c>
      <c r="C48" s="278"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1">
        <f>IF(FinArt="Kauf",IF(KaufpreisRech="Kaufpreis",Gesamtpreis3,0),Gesamtpreis3*Haltedauer*12+IF(FinArt="Leasing",LeasSondZahl3,0))</f>
        <v>0</v>
      </c>
      <c r="D54" s="68" t="s">
        <v>57</v>
      </c>
      <c r="E54" s="69"/>
      <c r="F54" s="58"/>
    </row>
    <row r="55" spans="1:6" s="71" customFormat="1" ht="14.4" x14ac:dyDescent="0.25">
      <c r="A55" s="304" t="s">
        <v>11</v>
      </c>
      <c r="B55" s="1" t="s">
        <v>430</v>
      </c>
      <c r="C55" s="282">
        <f>IF(AND(KaufpreisRech="Wertminderung",FinArt="Kauf"),Gesamtpreis3-Gesamtpreis3*(-0.2*LN(Haltedauer)+0.667),0)</f>
        <v>0</v>
      </c>
      <c r="D55" s="1" t="s">
        <v>57</v>
      </c>
      <c r="E55" s="125"/>
      <c r="F55" s="73"/>
    </row>
    <row r="56" spans="1:6" x14ac:dyDescent="0.25">
      <c r="B56" s="1" t="s">
        <v>79</v>
      </c>
      <c r="C56" s="282">
        <f>C30*Haltedauer</f>
        <v>0</v>
      </c>
      <c r="D56" s="1" t="s">
        <v>57</v>
      </c>
      <c r="F56" s="73"/>
    </row>
    <row r="57" spans="1:6" x14ac:dyDescent="0.25">
      <c r="B57" s="1" t="s">
        <v>157</v>
      </c>
      <c r="C57" s="282">
        <f>C37*Haltedauer</f>
        <v>0</v>
      </c>
      <c r="D57" s="1" t="s">
        <v>57</v>
      </c>
      <c r="F57" s="58"/>
    </row>
    <row r="58" spans="1:6" x14ac:dyDescent="0.25">
      <c r="B58" s="1" t="s">
        <v>148</v>
      </c>
      <c r="C58" s="282">
        <f>C41*Haltedauer</f>
        <v>0</v>
      </c>
      <c r="D58" s="1" t="s">
        <v>57</v>
      </c>
      <c r="F58" s="58"/>
    </row>
    <row r="59" spans="1:6" x14ac:dyDescent="0.25">
      <c r="B59" s="326" t="s">
        <v>82</v>
      </c>
      <c r="C59" s="327" t="e">
        <f>C48*Haltedauer</f>
        <v>#DIV/0!</v>
      </c>
      <c r="D59" s="326" t="s">
        <v>57</v>
      </c>
      <c r="F59" s="147"/>
    </row>
    <row r="60" spans="1:6" x14ac:dyDescent="0.25">
      <c r="A60" s="390" t="s">
        <v>11</v>
      </c>
      <c r="B60" s="326" t="str">
        <f>IF(ISBLANK(Zusatzangabe_x), "", Zusatzangabe_x)</f>
        <v/>
      </c>
      <c r="C60" s="327" t="str">
        <f>IF(ISBLANK(Zusatzangabe_x), "", Zusatzangabe_x3*Haltedauer)</f>
        <v/>
      </c>
      <c r="D60" s="326" t="str">
        <f>IF(ISBLANK(Zusatzangabe_x), "", "EUR")</f>
        <v/>
      </c>
      <c r="F60" s="147"/>
    </row>
    <row r="61" spans="1:6" x14ac:dyDescent="0.25">
      <c r="A61" s="390"/>
      <c r="B61" s="326" t="str">
        <f>IF(ISBLANK(Zusatzangabe_y), "", Zusatzangabe_y)</f>
        <v/>
      </c>
      <c r="C61" s="327" t="str">
        <f>IF(ISBLANK(Zusatzangabe_y), "", Zusatzangabe_y3*Haltedauer)</f>
        <v/>
      </c>
      <c r="D61" s="326" t="str">
        <f>IF(ISBLANK(Zusatzangabe_y), "", "EUR")</f>
        <v/>
      </c>
      <c r="F61" s="147"/>
    </row>
    <row r="62" spans="1:6" x14ac:dyDescent="0.25">
      <c r="A62" s="390"/>
      <c r="B62" s="326" t="str">
        <f>IF(ISBLANK(Zusatzangabe_z), "", Zusatzangabe_z)</f>
        <v/>
      </c>
      <c r="C62" s="327" t="str">
        <f>IF(ISBLANK(Zusatzangabe_z), "", Zusatzangabe_z3*Haltedauer)</f>
        <v/>
      </c>
      <c r="D62" s="326" t="str">
        <f>IF(ISBLANK(Zusatzangabe_z), "", "EUR")</f>
        <v/>
      </c>
      <c r="F62" s="147"/>
    </row>
    <row r="63" spans="1:6" ht="14.4" thickBot="1" x14ac:dyDescent="0.3">
      <c r="B63" s="64" t="s">
        <v>83</v>
      </c>
      <c r="C63" s="283" t="e">
        <f>SUM(C54:C62)</f>
        <v>#DIV/0!</v>
      </c>
      <c r="D63" s="64" t="s">
        <v>57</v>
      </c>
      <c r="E63" s="14"/>
      <c r="F63" s="58"/>
    </row>
    <row r="64" spans="1:6" s="59" customFormat="1" ht="14.4" thickTop="1" x14ac:dyDescent="0.25">
      <c r="A64" s="1"/>
      <c r="B64" s="1"/>
      <c r="C64" s="10"/>
      <c r="D64" s="1"/>
      <c r="E64" s="14"/>
      <c r="F64" s="1"/>
    </row>
    <row r="65" spans="2:5" ht="16.2" x14ac:dyDescent="0.35">
      <c r="B65" s="68" t="s">
        <v>158</v>
      </c>
      <c r="C65" s="284" t="e">
        <f>IF(C47*Fahrleistung/10^6*Haltedauer&lt;C46, C47*Fahrleistung/10^6*Haltedauer, C46)</f>
        <v>#DIV/0!</v>
      </c>
      <c r="D65" s="68" t="s">
        <v>159</v>
      </c>
    </row>
    <row r="66" spans="2:5" ht="16.2" x14ac:dyDescent="0.35">
      <c r="B66" s="72" t="s">
        <v>88</v>
      </c>
      <c r="C66" s="285">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426</v>
      </c>
      <c r="E2" s="106" t="s">
        <v>20</v>
      </c>
      <c r="F2" s="125"/>
    </row>
    <row r="3" spans="1:6" x14ac:dyDescent="0.25">
      <c r="E3" s="125"/>
      <c r="F3" s="125"/>
    </row>
    <row r="4" spans="1:6" x14ac:dyDescent="0.25">
      <c r="B4" s="154" t="s">
        <v>130</v>
      </c>
      <c r="C4" s="3"/>
      <c r="D4" s="3"/>
      <c r="E4" s="125"/>
      <c r="F4" s="125"/>
    </row>
    <row r="5" spans="1:6" x14ac:dyDescent="0.25">
      <c r="E5" s="125"/>
      <c r="F5" s="125" t="str">
        <f>IF(Antriebsart4="Vollelektrisch (BEV)","Strom","nicht verfügbar")</f>
        <v>nicht verfügbar</v>
      </c>
    </row>
    <row r="6" spans="1:6" x14ac:dyDescent="0.25">
      <c r="B6" s="2" t="s">
        <v>41</v>
      </c>
      <c r="C6" s="54">
        <v>4</v>
      </c>
      <c r="E6" s="125"/>
      <c r="F6" s="125" t="str">
        <f>IF(OR(Antriebsart4="Verbrenner",Antriebsart4="Plug-In-Hybrid (PHEV)"),"Diesel","nicht verfügbar")</f>
        <v>nicht verfügbar</v>
      </c>
    </row>
    <row r="7" spans="1:6" x14ac:dyDescent="0.25">
      <c r="B7" s="1" t="s">
        <v>50</v>
      </c>
      <c r="C7" s="102" t="str">
        <f>IF(Anbieter4=0,"",Anbieter4)</f>
        <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131</v>
      </c>
      <c r="C9" s="102"/>
      <c r="E9" s="125"/>
      <c r="F9" s="125"/>
    </row>
    <row r="10" spans="1:6" x14ac:dyDescent="0.25">
      <c r="B10" s="1" t="s">
        <v>132</v>
      </c>
      <c r="C10" s="102" t="str">
        <f>IF(Hersteller4=0,"",Hersteller4)</f>
        <v/>
      </c>
      <c r="D10" s="55"/>
      <c r="E10" s="125"/>
      <c r="F10" s="125"/>
    </row>
    <row r="11" spans="1:6" x14ac:dyDescent="0.25">
      <c r="B11" s="1" t="s">
        <v>52</v>
      </c>
      <c r="C11" s="102" t="str">
        <f>IF(Modell4=0,"",Modell4)</f>
        <v/>
      </c>
      <c r="D11" s="55"/>
      <c r="E11" s="125"/>
      <c r="F11" s="125"/>
    </row>
    <row r="12" spans="1:6" ht="43.95" customHeight="1" x14ac:dyDescent="0.25">
      <c r="B12" s="56" t="s">
        <v>133</v>
      </c>
      <c r="C12" s="102" t="str">
        <f>IF(Zusatzinfo4=0,"",Zusatzinfo4)</f>
        <v/>
      </c>
      <c r="D12" s="55"/>
      <c r="E12" s="125"/>
      <c r="F12" s="125"/>
    </row>
    <row r="13" spans="1:6" x14ac:dyDescent="0.25">
      <c r="B13" s="57" t="s">
        <v>42</v>
      </c>
      <c r="C13" s="102" t="str">
        <f>IF(Antriebsart4=0,"",Antriebsart4)</f>
        <v/>
      </c>
      <c r="E13" s="125"/>
      <c r="F13" s="125"/>
    </row>
    <row r="14" spans="1:6" x14ac:dyDescent="0.25">
      <c r="B14" s="2" t="s">
        <v>46</v>
      </c>
      <c r="C14" s="102" t="str">
        <f>IF(Energie4=0,"",Energie4)</f>
        <v/>
      </c>
      <c r="D14" s="88"/>
      <c r="E14" s="125"/>
      <c r="F14" s="125"/>
    </row>
    <row r="15" spans="1:6" s="125" customFormat="1" ht="14.4" x14ac:dyDescent="0.25">
      <c r="A15" s="126"/>
      <c r="C15" s="127"/>
    </row>
    <row r="16" spans="1:6" x14ac:dyDescent="0.25">
      <c r="B16" s="154" t="s">
        <v>134</v>
      </c>
      <c r="C16" s="3"/>
      <c r="D16" s="3"/>
      <c r="E16" s="125"/>
      <c r="F16" s="125"/>
    </row>
    <row r="17" spans="1:6" x14ac:dyDescent="0.25">
      <c r="B17" s="66"/>
      <c r="C17" s="66"/>
      <c r="D17" s="66"/>
      <c r="E17" s="125"/>
      <c r="F17" s="125"/>
    </row>
    <row r="18" spans="1:6" x14ac:dyDescent="0.25">
      <c r="B18" s="72" t="s">
        <v>135</v>
      </c>
      <c r="C18" s="287">
        <f>0.0057*(ReichwPHEV4/23)^3-0.0838*(ReichwPHEV4/23)^2+0.4261*(ReichwPHEV4/23)+ 0.1633</f>
        <v>0.1633</v>
      </c>
      <c r="D18" s="184"/>
      <c r="E18" s="125"/>
      <c r="F18" s="125"/>
    </row>
    <row r="19" spans="1:6" x14ac:dyDescent="0.25">
      <c r="B19" s="1" t="s">
        <v>136</v>
      </c>
      <c r="C19" s="288">
        <f>Verbrauch4/(1-0.9*C18)</f>
        <v>0</v>
      </c>
      <c r="D19" s="7" t="s">
        <v>61</v>
      </c>
      <c r="E19" s="125"/>
      <c r="F19" s="125"/>
    </row>
    <row r="20" spans="1:6" x14ac:dyDescent="0.25">
      <c r="B20" s="72" t="s">
        <v>137</v>
      </c>
      <c r="C20" s="289">
        <f>VerbEl_WLTP4/C18</f>
        <v>0</v>
      </c>
      <c r="D20" s="184" t="s">
        <v>62</v>
      </c>
      <c r="E20" s="125"/>
      <c r="F20" s="125"/>
    </row>
    <row r="21" spans="1:6" x14ac:dyDescent="0.25">
      <c r="B21" s="186" t="s">
        <v>138</v>
      </c>
      <c r="C21" s="290">
        <f>0.0021*(ReichwPHEV4/23)^3-0.0358*(ReichwPHEV4/23)^2+0.2607*(ReichwPHEV4/23)- 0.0267</f>
        <v>-2.6700000000000002E-2</v>
      </c>
      <c r="D21" s="187"/>
      <c r="E21" s="125"/>
      <c r="F21" s="125"/>
    </row>
    <row r="22" spans="1:6" ht="14.4" customHeight="1" x14ac:dyDescent="0.25">
      <c r="A22" s="470" t="s">
        <v>11</v>
      </c>
      <c r="B22" s="469" t="s">
        <v>139</v>
      </c>
      <c r="C22" s="291">
        <f>C19*(1-0.9*C21)</f>
        <v>0</v>
      </c>
      <c r="D22" s="185" t="s">
        <v>61</v>
      </c>
      <c r="E22" s="125"/>
      <c r="F22" s="125"/>
    </row>
    <row r="23" spans="1:6" x14ac:dyDescent="0.25">
      <c r="A23" s="470"/>
      <c r="B23" s="429"/>
      <c r="C23" s="291">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8">
        <f>IF(Antriebsart4="Vollelektrisch (BEV)",0,IFERROR(VLOOKUP(Energie4,EnKostList,8,FALSE),0)*IF(Antriebsart4="Plug-In-Hybrid (PHEV)",VerbPHEV4,Verbrauch4)/100*Fahrleistung)</f>
        <v>0</v>
      </c>
      <c r="D28" s="2" t="s">
        <v>142</v>
      </c>
      <c r="E28" s="125"/>
      <c r="F28" s="125"/>
    </row>
    <row r="29" spans="1:6" x14ac:dyDescent="0.25">
      <c r="B29" s="1" t="s">
        <v>47</v>
      </c>
      <c r="C29" s="278">
        <f>IF(Antriebsart4="Verbrenner",0,VLOOKUP("Strom",EnKostList,8,FALSE)*IF(Antriebsart4="Plug-In-Hybrid (PHEV)",VerbElPHEV4,VerbEl_WLTP4)/100*Fahrleistung)</f>
        <v>0</v>
      </c>
      <c r="D29" s="2" t="s">
        <v>142</v>
      </c>
      <c r="E29" s="125"/>
      <c r="F29" s="125"/>
    </row>
    <row r="30" spans="1:6" ht="14.4" thickBot="1" x14ac:dyDescent="0.3">
      <c r="B30" s="64" t="s">
        <v>83</v>
      </c>
      <c r="C30" s="279">
        <f>SUM(C28:C29)</f>
        <v>0</v>
      </c>
      <c r="D30" s="64" t="s">
        <v>142</v>
      </c>
      <c r="E30" s="125"/>
      <c r="F30" s="125"/>
    </row>
    <row r="31" spans="1:6" ht="14.4" thickTop="1" x14ac:dyDescent="0.25">
      <c r="C31" s="10"/>
      <c r="D31" s="2"/>
      <c r="E31" s="125"/>
      <c r="F31" s="125"/>
    </row>
    <row r="32" spans="1:6" x14ac:dyDescent="0.25">
      <c r="B32" s="60" t="s">
        <v>143</v>
      </c>
      <c r="C32" s="145" t="str">
        <f>CONCATENATE("Energieträger: ",Energie4)</f>
        <v xml:space="preserve">Energieträger: </v>
      </c>
      <c r="D32" s="60"/>
      <c r="E32" s="125"/>
      <c r="F32" s="125"/>
    </row>
    <row r="33" spans="1:6" ht="16.2" x14ac:dyDescent="0.35">
      <c r="B33" s="1" t="s">
        <v>144</v>
      </c>
      <c r="C33" s="278">
        <f>IF(Antriebsart4="Plug-In-Hybrid (PHEV)",VerbPHEV4*VLOOKUP(Energie4,CO2List,2,FALSE)/100,CO2_4)*Fahrleistung/1000000</f>
        <v>0</v>
      </c>
      <c r="D33" s="2" t="s">
        <v>145</v>
      </c>
      <c r="E33" s="125"/>
      <c r="F33" s="125"/>
    </row>
    <row r="34" spans="1:6" x14ac:dyDescent="0.25">
      <c r="B34" s="1" t="s">
        <v>121</v>
      </c>
      <c r="C34" s="278">
        <f>C33*Kost_THG</f>
        <v>0</v>
      </c>
      <c r="D34" s="2" t="s">
        <v>142</v>
      </c>
      <c r="E34" s="125"/>
      <c r="F34" s="125"/>
    </row>
    <row r="35" spans="1:6" x14ac:dyDescent="0.25">
      <c r="B35" s="7" t="s">
        <v>146</v>
      </c>
      <c r="C35" s="286">
        <f>IF(Energie4="Strom",0,NOX_4*Fahrleistung*Kost_NOX/1000)</f>
        <v>0</v>
      </c>
      <c r="D35" s="65" t="s">
        <v>142</v>
      </c>
      <c r="E35" s="125"/>
      <c r="F35" s="125"/>
    </row>
    <row r="36" spans="1:6" x14ac:dyDescent="0.25">
      <c r="B36" s="7" t="s">
        <v>67</v>
      </c>
      <c r="C36" s="286">
        <f>IF(Energie4="Strom",0,Partikel4*Fahrleistung*Kost_Partikel/1000)</f>
        <v>0</v>
      </c>
      <c r="D36" s="65" t="s">
        <v>142</v>
      </c>
      <c r="E36" s="125"/>
      <c r="F36" s="125"/>
    </row>
    <row r="37" spans="1:6" ht="14.4" thickBot="1" x14ac:dyDescent="0.3">
      <c r="B37" s="64" t="s">
        <v>83</v>
      </c>
      <c r="C37" s="279">
        <f>SUM(C34:C36)</f>
        <v>0</v>
      </c>
      <c r="D37" s="64" t="s">
        <v>142</v>
      </c>
      <c r="E37" s="125"/>
      <c r="F37" s="125"/>
    </row>
    <row r="38" spans="1:6" ht="14.4" thickTop="1" x14ac:dyDescent="0.25">
      <c r="B38" s="14"/>
      <c r="D38" s="2"/>
      <c r="E38" s="125"/>
      <c r="F38" s="125"/>
    </row>
    <row r="39" spans="1:6" x14ac:dyDescent="0.25">
      <c r="B39" s="60" t="s">
        <v>147</v>
      </c>
      <c r="C39" s="145" t="str">
        <f>CONCATENATE("Energieträger: ",Energie4,IF(Antriebsart4="Plug-In-Hybrid (PHEV)","+Strom",""))</f>
        <v xml:space="preserve">Energieträger: </v>
      </c>
      <c r="D39" s="60"/>
      <c r="E39" s="125"/>
      <c r="F39" s="125"/>
    </row>
    <row r="40" spans="1:6" ht="16.2" x14ac:dyDescent="0.35">
      <c r="B40" s="1" t="s">
        <v>144</v>
      </c>
      <c r="C40" s="278">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v>
      </c>
      <c r="D40" s="2" t="s">
        <v>145</v>
      </c>
      <c r="E40" s="125"/>
      <c r="F40" s="125"/>
    </row>
    <row r="41" spans="1:6" x14ac:dyDescent="0.25">
      <c r="B41" s="1" t="s">
        <v>148</v>
      </c>
      <c r="C41" s="278">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0" t="s">
        <v>11</v>
      </c>
      <c r="B46" s="467" t="s">
        <v>144</v>
      </c>
      <c r="C46" s="280">
        <f>IF(OR(Antriebsart4="Vollelektrisch (BEV)",Antriebsart4="Plug-In-Hybrid (PHEV)"),Batterie4*Batterie_THG/1000,0)</f>
        <v>0</v>
      </c>
      <c r="D46" s="131" t="s">
        <v>152</v>
      </c>
      <c r="E46" s="127"/>
      <c r="F46" s="125"/>
    </row>
    <row r="47" spans="1:6" s="67" customFormat="1" ht="16.2" x14ac:dyDescent="0.25">
      <c r="A47" s="390"/>
      <c r="B47" s="468"/>
      <c r="C47" s="280" t="e">
        <f>IF((Fahrleistung*16)&lt;220000,C46*10^6/(Fahrleistung*16),C46*10^6/220000)</f>
        <v>#DIV/0!</v>
      </c>
      <c r="D47" s="130" t="s">
        <v>153</v>
      </c>
      <c r="E47" s="127"/>
      <c r="F47" s="125"/>
    </row>
    <row r="48" spans="1:6" x14ac:dyDescent="0.25">
      <c r="B48" s="1" t="s">
        <v>154</v>
      </c>
      <c r="C48" s="278"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1">
        <f>IF(FinArt="Kauf",IF(KaufpreisRech="Kaufpreis",Gesamtpreis4,0),Gesamtpreis4*Haltedauer*12+IF(FinArt="Leasing",LeasSondZahl4,0))</f>
        <v>0</v>
      </c>
      <c r="D54" s="68" t="s">
        <v>57</v>
      </c>
      <c r="E54" s="69"/>
      <c r="F54" s="58"/>
    </row>
    <row r="55" spans="1:6" s="71" customFormat="1" ht="14.4" x14ac:dyDescent="0.25">
      <c r="A55" s="304" t="s">
        <v>11</v>
      </c>
      <c r="B55" s="1" t="s">
        <v>430</v>
      </c>
      <c r="C55" s="282">
        <f>IF(AND(KaufpreisRech="Wertminderung",FinArt="Kauf"),Gesamtpreis4-Gesamtpreis4*(-0.2*LN(Haltedauer)+0.667),0)</f>
        <v>0</v>
      </c>
      <c r="D55" s="1" t="s">
        <v>57</v>
      </c>
      <c r="E55" s="125"/>
      <c r="F55" s="73"/>
    </row>
    <row r="56" spans="1:6" x14ac:dyDescent="0.25">
      <c r="B56" s="1" t="s">
        <v>79</v>
      </c>
      <c r="C56" s="282">
        <f>C30*Haltedauer</f>
        <v>0</v>
      </c>
      <c r="D56" s="1" t="s">
        <v>57</v>
      </c>
      <c r="F56" s="73"/>
    </row>
    <row r="57" spans="1:6" x14ac:dyDescent="0.25">
      <c r="B57" s="1" t="s">
        <v>157</v>
      </c>
      <c r="C57" s="282">
        <f>C37*Haltedauer</f>
        <v>0</v>
      </c>
      <c r="D57" s="1" t="s">
        <v>57</v>
      </c>
      <c r="F57" s="58"/>
    </row>
    <row r="58" spans="1:6" x14ac:dyDescent="0.25">
      <c r="B58" s="1" t="s">
        <v>148</v>
      </c>
      <c r="C58" s="282">
        <f>C41*Haltedauer</f>
        <v>0</v>
      </c>
      <c r="D58" s="1" t="s">
        <v>57</v>
      </c>
      <c r="F58" s="58"/>
    </row>
    <row r="59" spans="1:6" x14ac:dyDescent="0.25">
      <c r="B59" s="332" t="s">
        <v>82</v>
      </c>
      <c r="C59" s="333" t="e">
        <f>C48*Haltedauer</f>
        <v>#DIV/0!</v>
      </c>
      <c r="D59" s="80" t="s">
        <v>57</v>
      </c>
      <c r="F59" s="147"/>
    </row>
    <row r="60" spans="1:6" x14ac:dyDescent="0.25">
      <c r="A60" s="390" t="s">
        <v>11</v>
      </c>
      <c r="B60" s="326" t="str">
        <f>IF(ISBLANK(Zusatzangabe_x), "", Zusatzangabe_x)</f>
        <v/>
      </c>
      <c r="C60" s="327" t="str">
        <f>IF(ISBLANK(Zusatzangabe_x), "", Zusatzangabe_x4*Haltedauer)</f>
        <v/>
      </c>
      <c r="D60" s="326" t="str">
        <f>IF(ISBLANK(Zusatzangabe_x), "", "EUR")</f>
        <v/>
      </c>
      <c r="F60" s="147"/>
    </row>
    <row r="61" spans="1:6" x14ac:dyDescent="0.25">
      <c r="A61" s="390"/>
      <c r="B61" s="326" t="str">
        <f>IF(ISBLANK(Zusatzangabe_y), "", Zusatzangabe_y)</f>
        <v/>
      </c>
      <c r="C61" s="327" t="str">
        <f>IF(ISBLANK(Zusatzangabe_y), "", Zusatzangabe_y4*Haltedauer)</f>
        <v/>
      </c>
      <c r="D61" s="326" t="str">
        <f>IF(ISBLANK(Zusatzangabe_y), "", "EUR")</f>
        <v/>
      </c>
      <c r="F61" s="147"/>
    </row>
    <row r="62" spans="1:6" x14ac:dyDescent="0.25">
      <c r="A62" s="390"/>
      <c r="B62" s="326" t="str">
        <f>IF(ISBLANK(Zusatzangabe_z), "", Zusatzangabe_z)</f>
        <v/>
      </c>
      <c r="C62" s="327" t="str">
        <f>IF(ISBLANK(Zusatzangabe_z), "", Zusatzangabe_z4*Haltedauer)</f>
        <v/>
      </c>
      <c r="D62" s="326" t="str">
        <f>IF(ISBLANK(Zusatzangabe_z), "", "EUR")</f>
        <v/>
      </c>
      <c r="F62" s="147"/>
    </row>
    <row r="63" spans="1:6" ht="14.4" thickBot="1" x14ac:dyDescent="0.3">
      <c r="B63" s="64" t="s">
        <v>83</v>
      </c>
      <c r="C63" s="283" t="e">
        <f>SUM(C54:C62)</f>
        <v>#DIV/0!</v>
      </c>
      <c r="D63" s="64" t="s">
        <v>57</v>
      </c>
      <c r="E63" s="14"/>
      <c r="F63" s="58"/>
    </row>
    <row r="64" spans="1:6" s="59" customFormat="1" ht="14.4" thickTop="1" x14ac:dyDescent="0.25">
      <c r="A64" s="1"/>
      <c r="B64" s="1"/>
      <c r="C64" s="10"/>
      <c r="D64" s="1"/>
      <c r="E64" s="14"/>
      <c r="F64" s="1"/>
    </row>
    <row r="65" spans="2:5" ht="16.2" x14ac:dyDescent="0.35">
      <c r="B65" s="68" t="s">
        <v>158</v>
      </c>
      <c r="C65" s="284" t="e">
        <f>IF(C47*Fahrleistung/10^6*Haltedauer&lt;C46, C47*Fahrleistung/10^6*Haltedauer, C46)</f>
        <v>#DIV/0!</v>
      </c>
      <c r="D65" s="68" t="s">
        <v>159</v>
      </c>
    </row>
    <row r="66" spans="2:5" ht="16.2" x14ac:dyDescent="0.35">
      <c r="B66" s="72" t="s">
        <v>88</v>
      </c>
      <c r="C66" s="285">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425</v>
      </c>
      <c r="E2" s="106" t="s">
        <v>20</v>
      </c>
      <c r="F2" s="125"/>
    </row>
    <row r="3" spans="2:6" x14ac:dyDescent="0.25">
      <c r="E3" s="125"/>
      <c r="F3" s="125"/>
    </row>
    <row r="4" spans="2:6" x14ac:dyDescent="0.25">
      <c r="B4" s="154" t="s">
        <v>130</v>
      </c>
      <c r="C4" s="3"/>
      <c r="D4" s="3"/>
      <c r="E4" s="125"/>
      <c r="F4" s="125"/>
    </row>
    <row r="5" spans="2:6" x14ac:dyDescent="0.25">
      <c r="E5" s="125"/>
      <c r="F5" s="125" t="str">
        <f>IF(Antriebsart5="Vollelektrisch (BEV)","Strom","nicht verfügbar")</f>
        <v>nicht verfügbar</v>
      </c>
    </row>
    <row r="6" spans="2:6" x14ac:dyDescent="0.25">
      <c r="B6" s="2" t="s">
        <v>41</v>
      </c>
      <c r="C6" s="54">
        <v>5</v>
      </c>
      <c r="E6" s="125"/>
      <c r="F6" s="125" t="str">
        <f>IF(OR(Antriebsart5="Verbrenner",Antriebsart5="Plug-In-Hybrid (PHEV)"),"Diesel","nicht verfügbar")</f>
        <v>nicht verfügbar</v>
      </c>
    </row>
    <row r="7" spans="2:6" x14ac:dyDescent="0.25">
      <c r="B7" s="1" t="s">
        <v>50</v>
      </c>
      <c r="C7" s="102" t="str">
        <f>IF(Anbieter5=0,"",Anbieter5)</f>
        <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131</v>
      </c>
      <c r="C9" s="102"/>
      <c r="E9" s="125"/>
      <c r="F9" s="125"/>
    </row>
    <row r="10" spans="2:6" x14ac:dyDescent="0.25">
      <c r="B10" s="1" t="s">
        <v>132</v>
      </c>
      <c r="C10" s="102" t="str">
        <f>IF(Hersteller5=0,"",Hersteller5)</f>
        <v/>
      </c>
      <c r="D10" s="55"/>
      <c r="E10" s="125"/>
      <c r="F10" s="125"/>
    </row>
    <row r="11" spans="2:6" x14ac:dyDescent="0.25">
      <c r="B11" s="1" t="s">
        <v>52</v>
      </c>
      <c r="C11" s="102" t="str">
        <f>IF(Modell5=0,"",Modell5)</f>
        <v/>
      </c>
      <c r="D11" s="55"/>
      <c r="E11" s="125"/>
      <c r="F11" s="125"/>
    </row>
    <row r="12" spans="2:6" ht="43.95" customHeight="1" x14ac:dyDescent="0.25">
      <c r="B12" s="56" t="s">
        <v>133</v>
      </c>
      <c r="C12" s="102" t="str">
        <f>IF(Zusatzinfo5=0,"",Zusatzinfo5)</f>
        <v/>
      </c>
      <c r="D12" s="55"/>
      <c r="E12" s="125"/>
      <c r="F12" s="125"/>
    </row>
    <row r="13" spans="2:6" x14ac:dyDescent="0.25">
      <c r="B13" s="57" t="s">
        <v>42</v>
      </c>
      <c r="C13" s="102" t="str">
        <f>IF(Antriebsart5=0,"",Antriebsart5)</f>
        <v/>
      </c>
      <c r="E13" s="125"/>
      <c r="F13" s="125"/>
    </row>
    <row r="14" spans="2:6" x14ac:dyDescent="0.25">
      <c r="B14" s="2" t="s">
        <v>46</v>
      </c>
      <c r="C14" s="102" t="str">
        <f>IF(Energie5=0,"",Energie5)</f>
        <v/>
      </c>
      <c r="D14" s="88"/>
      <c r="E14" s="125"/>
      <c r="F14" s="125"/>
    </row>
    <row r="15" spans="2:6" x14ac:dyDescent="0.25">
      <c r="B15" s="2"/>
      <c r="D15" s="2"/>
      <c r="E15" s="125"/>
      <c r="F15" s="125"/>
    </row>
    <row r="16" spans="2:6" ht="13.95" customHeight="1" x14ac:dyDescent="0.25">
      <c r="B16" s="154" t="s">
        <v>134</v>
      </c>
      <c r="C16" s="3"/>
      <c r="D16" s="3"/>
      <c r="E16" s="125"/>
      <c r="F16" s="125"/>
    </row>
    <row r="17" spans="1:6" ht="13.95" customHeight="1" x14ac:dyDescent="0.25">
      <c r="A17" s="188"/>
      <c r="B17" s="66"/>
      <c r="C17" s="66"/>
      <c r="D17" s="66"/>
      <c r="E17" s="125"/>
      <c r="F17" s="125"/>
    </row>
    <row r="18" spans="1:6" x14ac:dyDescent="0.25">
      <c r="B18" s="72" t="s">
        <v>135</v>
      </c>
      <c r="C18" s="287">
        <f>0.0057*(ReichwPHEV5/23)^3-0.0838*(ReichwPHEV5/23)^2+0.4261*(ReichwPHEV5/23)+ 0.1633</f>
        <v>0.1633</v>
      </c>
      <c r="D18" s="184"/>
      <c r="E18" s="125"/>
      <c r="F18" s="125"/>
    </row>
    <row r="19" spans="1:6" x14ac:dyDescent="0.25">
      <c r="B19" s="1" t="s">
        <v>136</v>
      </c>
      <c r="C19" s="288">
        <f>Verbrauch5/(1-0.9*C18)</f>
        <v>0</v>
      </c>
      <c r="D19" s="7" t="s">
        <v>61</v>
      </c>
      <c r="E19" s="125"/>
      <c r="F19" s="125"/>
    </row>
    <row r="20" spans="1:6" x14ac:dyDescent="0.25">
      <c r="B20" s="72" t="s">
        <v>137</v>
      </c>
      <c r="C20" s="289">
        <f>VerbEl_WLTP5/C18</f>
        <v>0</v>
      </c>
      <c r="D20" s="184" t="s">
        <v>62</v>
      </c>
      <c r="E20" s="125"/>
      <c r="F20" s="125"/>
    </row>
    <row r="21" spans="1:6" x14ac:dyDescent="0.25">
      <c r="B21" s="186" t="s">
        <v>138</v>
      </c>
      <c r="C21" s="290">
        <f>0.0021*(ReichwPHEV5/23)^3-0.0358*(ReichwPHEV5/23)^2+0.2607*(ReichwPHEV5/23)- 0.0267</f>
        <v>-2.6700000000000002E-2</v>
      </c>
      <c r="D21" s="187"/>
      <c r="E21" s="125"/>
      <c r="F21" s="125"/>
    </row>
    <row r="22" spans="1:6" ht="14.4" customHeight="1" x14ac:dyDescent="0.25">
      <c r="A22" s="470" t="s">
        <v>11</v>
      </c>
      <c r="B22" s="469" t="s">
        <v>139</v>
      </c>
      <c r="C22" s="291">
        <f>C19*(1-0.9*C21)</f>
        <v>0</v>
      </c>
      <c r="D22" s="185" t="s">
        <v>61</v>
      </c>
      <c r="E22" s="125"/>
      <c r="F22" s="125"/>
    </row>
    <row r="23" spans="1:6" x14ac:dyDescent="0.25">
      <c r="A23" s="470"/>
      <c r="B23" s="429"/>
      <c r="C23" s="291">
        <f>C20*C21</f>
        <v>0</v>
      </c>
      <c r="D23" s="183" t="s">
        <v>62</v>
      </c>
      <c r="E23" s="125"/>
      <c r="F23" s="125"/>
    </row>
    <row r="24" spans="1:6" s="125" customFormat="1" ht="14.4" x14ac:dyDescent="0.25">
      <c r="A24" s="126"/>
      <c r="C24" s="181"/>
      <c r="D24" s="7"/>
    </row>
    <row r="25" spans="1:6" x14ac:dyDescent="0.25">
      <c r="B25" s="154" t="s">
        <v>140</v>
      </c>
      <c r="C25" s="3"/>
      <c r="D25" s="3"/>
      <c r="E25" s="125"/>
      <c r="F25" s="125"/>
    </row>
    <row r="26" spans="1:6" x14ac:dyDescent="0.25">
      <c r="E26" s="125"/>
      <c r="F26" s="125"/>
    </row>
    <row r="27" spans="1:6" x14ac:dyDescent="0.25">
      <c r="B27" s="60" t="s">
        <v>79</v>
      </c>
      <c r="C27" s="61"/>
      <c r="D27" s="60"/>
      <c r="E27" s="125"/>
      <c r="F27" s="125"/>
    </row>
    <row r="28" spans="1:6" x14ac:dyDescent="0.25">
      <c r="B28" s="1" t="s">
        <v>141</v>
      </c>
      <c r="C28" s="278">
        <f>IF(Antriebsart5="Vollelektrisch (BEV)",0,IFERROR(VLOOKUP(Energie5,EnKostList,8,FALSE),0)*IF(Antriebsart5="Plug-In-Hybrid (PHEV)",VerbPHEV5,Verbrauch5)/100*Fahrleistung)</f>
        <v>0</v>
      </c>
      <c r="D28" s="2" t="s">
        <v>142</v>
      </c>
      <c r="E28" s="125"/>
      <c r="F28" s="125"/>
    </row>
    <row r="29" spans="1:6" x14ac:dyDescent="0.25">
      <c r="B29" s="1" t="s">
        <v>47</v>
      </c>
      <c r="C29" s="278">
        <f>IF(Antriebsart5="Verbrenner",0,VLOOKUP("Strom",EnKostList,8,FALSE)*IF(Antriebsart5="Plug-In-Hybrid (PHEV)",VerbElPHEV5,VerbEl_WLTP5)/100*Fahrleistung)</f>
        <v>0</v>
      </c>
      <c r="D29" s="2" t="s">
        <v>142</v>
      </c>
      <c r="E29" s="125"/>
      <c r="F29" s="125"/>
    </row>
    <row r="30" spans="1:6" ht="14.4" thickBot="1" x14ac:dyDescent="0.3">
      <c r="B30" s="64" t="s">
        <v>83</v>
      </c>
      <c r="C30" s="279">
        <f>SUM(C28:C29)</f>
        <v>0</v>
      </c>
      <c r="D30" s="64" t="s">
        <v>142</v>
      </c>
      <c r="E30" s="125"/>
      <c r="F30" s="125"/>
    </row>
    <row r="31" spans="1:6" ht="14.4" thickTop="1" x14ac:dyDescent="0.25">
      <c r="C31" s="10"/>
      <c r="D31" s="2"/>
      <c r="E31" s="125"/>
      <c r="F31" s="125"/>
    </row>
    <row r="32" spans="1:6" x14ac:dyDescent="0.25">
      <c r="B32" s="60" t="s">
        <v>143</v>
      </c>
      <c r="C32" s="145" t="str">
        <f>CONCATENATE("Energieträger: ",Energie5)</f>
        <v xml:space="preserve">Energieträger: </v>
      </c>
      <c r="D32" s="60"/>
      <c r="E32" s="125"/>
      <c r="F32" s="125"/>
    </row>
    <row r="33" spans="1:6" ht="16.2" x14ac:dyDescent="0.35">
      <c r="A33" s="126"/>
      <c r="B33" s="1" t="s">
        <v>144</v>
      </c>
      <c r="C33" s="278">
        <f>IF(Antriebsart5="Plug-In-Hybrid (PHEV)",VerbPHEV5*VLOOKUP(Energie5,CO2List,2,FALSE)/100,CO2_5)*Fahrleistung/1000000</f>
        <v>0</v>
      </c>
      <c r="D33" s="2" t="s">
        <v>145</v>
      </c>
      <c r="E33" s="125"/>
      <c r="F33" s="125"/>
    </row>
    <row r="34" spans="1:6" x14ac:dyDescent="0.25">
      <c r="B34" s="1" t="s">
        <v>121</v>
      </c>
      <c r="C34" s="278">
        <f>C33*Kost_THG</f>
        <v>0</v>
      </c>
      <c r="D34" s="2" t="s">
        <v>142</v>
      </c>
      <c r="E34" s="125"/>
      <c r="F34" s="125"/>
    </row>
    <row r="35" spans="1:6" x14ac:dyDescent="0.25">
      <c r="B35" s="7" t="s">
        <v>146</v>
      </c>
      <c r="C35" s="286">
        <f>IF(Energie5="Strom",0,NOX_5*Fahrleistung*Kost_NOX/1000)</f>
        <v>0</v>
      </c>
      <c r="D35" s="65" t="s">
        <v>142</v>
      </c>
      <c r="E35" s="125"/>
      <c r="F35" s="125"/>
    </row>
    <row r="36" spans="1:6" x14ac:dyDescent="0.25">
      <c r="B36" s="7" t="s">
        <v>67</v>
      </c>
      <c r="C36" s="286">
        <f>IF(Energie5="Strom",0,Partikel5*Fahrleistung*Kost_Partikel/1000)</f>
        <v>0</v>
      </c>
      <c r="D36" s="65" t="s">
        <v>142</v>
      </c>
      <c r="E36" s="125"/>
      <c r="F36" s="125"/>
    </row>
    <row r="37" spans="1:6" ht="14.4" thickBot="1" x14ac:dyDescent="0.3">
      <c r="B37" s="64" t="s">
        <v>83</v>
      </c>
      <c r="C37" s="279">
        <f>SUM(C34:C36)</f>
        <v>0</v>
      </c>
      <c r="D37" s="64" t="s">
        <v>142</v>
      </c>
      <c r="E37" s="125"/>
      <c r="F37" s="125"/>
    </row>
    <row r="38" spans="1:6" ht="14.4" thickTop="1" x14ac:dyDescent="0.25">
      <c r="B38" s="14"/>
      <c r="D38" s="2"/>
      <c r="E38" s="125"/>
      <c r="F38" s="125"/>
    </row>
    <row r="39" spans="1:6" x14ac:dyDescent="0.25">
      <c r="B39" s="60" t="s">
        <v>147</v>
      </c>
      <c r="C39" s="145" t="str">
        <f>CONCATENATE("Energieträger: ",Energie5,IF(Antriebsart5="Plug-In-Hybrid (PHEV)","+Strom",""))</f>
        <v xml:space="preserve">Energieträger: </v>
      </c>
      <c r="D39" s="60"/>
      <c r="E39" s="125"/>
      <c r="F39" s="125"/>
    </row>
    <row r="40" spans="1:6" ht="16.2" x14ac:dyDescent="0.35">
      <c r="B40" s="1" t="s">
        <v>144</v>
      </c>
      <c r="C40" s="278">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v>
      </c>
      <c r="D40" s="2" t="s">
        <v>145</v>
      </c>
      <c r="E40" s="125"/>
      <c r="F40" s="125"/>
    </row>
    <row r="41" spans="1:6" x14ac:dyDescent="0.25">
      <c r="B41" s="1" t="s">
        <v>148</v>
      </c>
      <c r="C41" s="278">
        <f>C40*Kost_THG</f>
        <v>0</v>
      </c>
      <c r="D41" s="2" t="s">
        <v>142</v>
      </c>
      <c r="E41" s="125"/>
      <c r="F41" s="125"/>
    </row>
    <row r="42" spans="1:6" x14ac:dyDescent="0.25">
      <c r="E42" s="125"/>
      <c r="F42" s="125"/>
    </row>
    <row r="43" spans="1:6" x14ac:dyDescent="0.25">
      <c r="B43" s="154" t="s">
        <v>149</v>
      </c>
      <c r="C43" s="3"/>
      <c r="D43" s="3"/>
      <c r="E43" s="125"/>
      <c r="F43" s="125"/>
    </row>
    <row r="44" spans="1:6" x14ac:dyDescent="0.25">
      <c r="B44" s="66"/>
      <c r="C44" s="66"/>
      <c r="D44" s="66"/>
      <c r="E44" s="125"/>
      <c r="F44" s="125"/>
    </row>
    <row r="45" spans="1:6" s="67" customFormat="1" x14ac:dyDescent="0.25">
      <c r="A45" s="107"/>
      <c r="B45" s="90" t="s">
        <v>150</v>
      </c>
      <c r="C45" s="134" t="s">
        <v>151</v>
      </c>
      <c r="D45" s="62"/>
      <c r="E45" s="125"/>
      <c r="F45" s="125"/>
    </row>
    <row r="46" spans="1:6" s="67" customFormat="1" ht="16.2" x14ac:dyDescent="0.25">
      <c r="A46" s="390" t="s">
        <v>11</v>
      </c>
      <c r="B46" s="467" t="s">
        <v>144</v>
      </c>
      <c r="C46" s="280">
        <f>IF(OR(Antriebsart5="Vollelektrisch (BEV)",Antriebsart5="Plug-In-Hybrid (PHEV)"),Batterie5*Batterie_THG/1000,0)</f>
        <v>0</v>
      </c>
      <c r="D46" s="131" t="s">
        <v>152</v>
      </c>
      <c r="E46" s="127"/>
      <c r="F46" s="125"/>
    </row>
    <row r="47" spans="1:6" s="67" customFormat="1" ht="16.2" x14ac:dyDescent="0.25">
      <c r="A47" s="390"/>
      <c r="B47" s="468"/>
      <c r="C47" s="280" t="e">
        <f>IF((Fahrleistung*16)&lt;220000,C46*10^6/(Fahrleistung*16),C46*10^6/220000)</f>
        <v>#DIV/0!</v>
      </c>
      <c r="D47" s="130" t="s">
        <v>153</v>
      </c>
      <c r="E47" s="127"/>
      <c r="F47" s="125"/>
    </row>
    <row r="48" spans="1:6" x14ac:dyDescent="0.25">
      <c r="B48" s="1" t="s">
        <v>154</v>
      </c>
      <c r="C48" s="278" t="e">
        <f>IF(C47*Fahrleistung/10^6*Haltedauer&lt;C46, C47*Fahrleistung/10^6*Kost_THG, C46/Haltedauer*Kost_THG)</f>
        <v>#DIV/0!</v>
      </c>
      <c r="D48" s="2" t="s">
        <v>142</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155</v>
      </c>
    </row>
    <row r="54" spans="1:6" s="70" customFormat="1" ht="14.4" x14ac:dyDescent="0.3">
      <c r="A54" s="1"/>
      <c r="B54" s="68" t="s">
        <v>156</v>
      </c>
      <c r="C54" s="281">
        <f>IF(FinArt="Kauf",IF(KaufpreisRech="Kaufpreis",Gesamtpreis5,0),Gesamtpreis5*Haltedauer*12+IF(FinArt="Leasing",LeasSondZahl5,0))</f>
        <v>0</v>
      </c>
      <c r="D54" s="68" t="s">
        <v>57</v>
      </c>
      <c r="E54" s="69"/>
      <c r="F54" s="58"/>
    </row>
    <row r="55" spans="1:6" s="71" customFormat="1" ht="14.4" x14ac:dyDescent="0.25">
      <c r="A55" s="304" t="s">
        <v>11</v>
      </c>
      <c r="B55" s="1" t="s">
        <v>430</v>
      </c>
      <c r="C55" s="282">
        <f>IF(AND(KaufpreisRech="Wertminderung",FinArt="Kauf"),Gesamtpreis5-Gesamtpreis5*(-0.2*LN(Haltedauer)+0.667),0)</f>
        <v>0</v>
      </c>
      <c r="D55" s="1" t="s">
        <v>57</v>
      </c>
      <c r="E55" s="125"/>
      <c r="F55" s="73"/>
    </row>
    <row r="56" spans="1:6" x14ac:dyDescent="0.25">
      <c r="B56" s="1" t="s">
        <v>79</v>
      </c>
      <c r="C56" s="282">
        <f>C30*Haltedauer</f>
        <v>0</v>
      </c>
      <c r="D56" s="1" t="s">
        <v>57</v>
      </c>
      <c r="F56" s="73"/>
    </row>
    <row r="57" spans="1:6" x14ac:dyDescent="0.25">
      <c r="B57" s="1" t="s">
        <v>157</v>
      </c>
      <c r="C57" s="282">
        <f>C37*Haltedauer</f>
        <v>0</v>
      </c>
      <c r="D57" s="1" t="s">
        <v>57</v>
      </c>
      <c r="F57" s="58"/>
    </row>
    <row r="58" spans="1:6" x14ac:dyDescent="0.25">
      <c r="B58" s="1" t="s">
        <v>148</v>
      </c>
      <c r="C58" s="282">
        <f>C41*Haltedauer</f>
        <v>0</v>
      </c>
      <c r="D58" s="1" t="s">
        <v>57</v>
      </c>
      <c r="F58" s="58"/>
    </row>
    <row r="59" spans="1:6" x14ac:dyDescent="0.25">
      <c r="B59" s="328" t="s">
        <v>82</v>
      </c>
      <c r="C59" s="329" t="e">
        <f>C48*Haltedauer</f>
        <v>#DIV/0!</v>
      </c>
      <c r="D59" s="328" t="s">
        <v>57</v>
      </c>
      <c r="F59" s="147"/>
    </row>
    <row r="60" spans="1:6" x14ac:dyDescent="0.25">
      <c r="A60" s="390" t="s">
        <v>11</v>
      </c>
      <c r="B60" s="326" t="str">
        <f>IF(ISBLANK(Zusatzangabe_x), "", Zusatzangabe_x)</f>
        <v/>
      </c>
      <c r="C60" s="327" t="str">
        <f>IF(ISBLANK(Zusatzangabe_x), "", Zusatzangabe_x5*Haltedauer)</f>
        <v/>
      </c>
      <c r="D60" s="326" t="str">
        <f>IF(ISBLANK(Zusatzangabe_x), "", "EUR")</f>
        <v/>
      </c>
      <c r="F60" s="147"/>
    </row>
    <row r="61" spans="1:6" x14ac:dyDescent="0.25">
      <c r="A61" s="390"/>
      <c r="B61" s="326" t="str">
        <f>IF(ISBLANK(Zusatzangabe_y), "", Zusatzangabe_y)</f>
        <v/>
      </c>
      <c r="C61" s="327" t="str">
        <f>IF(ISBLANK(Zusatzangabe_y), "", Zusatzangabe_y5*Haltedauer)</f>
        <v/>
      </c>
      <c r="D61" s="326" t="str">
        <f>IF(ISBLANK(Zusatzangabe_y), "", "EUR")</f>
        <v/>
      </c>
      <c r="F61" s="147"/>
    </row>
    <row r="62" spans="1:6" x14ac:dyDescent="0.25">
      <c r="A62" s="390"/>
      <c r="B62" s="326" t="str">
        <f>IF(ISBLANK(Zusatzangabe_z), "", Zusatzangabe_z)</f>
        <v/>
      </c>
      <c r="C62" s="327" t="str">
        <f>IF(ISBLANK(Zusatzangabe_z), "", Zusatzangabe_z5*Haltedauer)</f>
        <v/>
      </c>
      <c r="D62" s="326" t="str">
        <f>IF(ISBLANK(Zusatzangabe_z), "", "EUR")</f>
        <v/>
      </c>
      <c r="F62" s="147"/>
    </row>
    <row r="63" spans="1:6" ht="14.4" thickBot="1" x14ac:dyDescent="0.3">
      <c r="B63" s="64" t="s">
        <v>83</v>
      </c>
      <c r="C63" s="283" t="e">
        <f>SUM(C54:C62)</f>
        <v>#DIV/0!</v>
      </c>
      <c r="D63" s="64" t="s">
        <v>57</v>
      </c>
      <c r="E63" s="14"/>
      <c r="F63" s="58"/>
    </row>
    <row r="64" spans="1:6" s="59" customFormat="1" ht="14.4" thickTop="1" x14ac:dyDescent="0.25">
      <c r="A64" s="1"/>
      <c r="B64" s="1"/>
      <c r="C64" s="10"/>
      <c r="D64" s="1"/>
      <c r="E64" s="14"/>
      <c r="F64" s="1"/>
    </row>
    <row r="65" spans="2:5" ht="16.2" x14ac:dyDescent="0.35">
      <c r="B65" s="68" t="s">
        <v>158</v>
      </c>
      <c r="C65" s="284" t="e">
        <f>IF(C47*Fahrleistung/10^6*Haltedauer&lt;C46, C47*Fahrleistung/10^6*Haltedauer, C46)</f>
        <v>#DIV/0!</v>
      </c>
      <c r="D65" s="68" t="s">
        <v>159</v>
      </c>
    </row>
    <row r="66" spans="2:5" ht="16.2" x14ac:dyDescent="0.35">
      <c r="B66" s="72" t="s">
        <v>88</v>
      </c>
      <c r="C66" s="285">
        <f>C33*Haltedauer+C40*Haltedauer</f>
        <v>0</v>
      </c>
      <c r="D66" s="72" t="s">
        <v>159</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160</v>
      </c>
      <c r="H2" s="106" t="s">
        <v>20</v>
      </c>
    </row>
    <row r="4" spans="1:9" x14ac:dyDescent="0.25">
      <c r="B4" s="154" t="s">
        <v>412</v>
      </c>
      <c r="C4" s="5"/>
      <c r="D4" s="5"/>
      <c r="E4" s="5"/>
      <c r="F4" s="5"/>
    </row>
    <row r="6" spans="1:9" x14ac:dyDescent="0.25">
      <c r="C6" s="63" t="s">
        <v>161</v>
      </c>
      <c r="D6" s="63" t="s">
        <v>162</v>
      </c>
      <c r="E6" s="1" t="s">
        <v>96</v>
      </c>
    </row>
    <row r="7" spans="1:9" ht="16.2" x14ac:dyDescent="0.35">
      <c r="B7" s="1" t="s">
        <v>48</v>
      </c>
      <c r="C7" s="301">
        <v>74.027000000000001</v>
      </c>
      <c r="D7" s="10">
        <v>23.4</v>
      </c>
      <c r="E7" s="12" t="s">
        <v>163</v>
      </c>
    </row>
    <row r="8" spans="1:9" ht="16.2" x14ac:dyDescent="0.35">
      <c r="B8" s="1" t="s">
        <v>49</v>
      </c>
      <c r="C8" s="301">
        <v>72.787000000000006</v>
      </c>
      <c r="D8" s="10">
        <v>23.2</v>
      </c>
      <c r="E8" s="12" t="s">
        <v>163</v>
      </c>
    </row>
    <row r="9" spans="1:9" ht="16.2" x14ac:dyDescent="0.35">
      <c r="B9" s="1" t="s">
        <v>117</v>
      </c>
      <c r="C9" s="301">
        <v>56.220999999999997</v>
      </c>
      <c r="D9" s="10">
        <v>20.3</v>
      </c>
      <c r="E9" s="12" t="s">
        <v>163</v>
      </c>
    </row>
    <row r="10" spans="1:9" ht="21.6" customHeight="1" x14ac:dyDescent="0.25">
      <c r="B10" s="92" t="s">
        <v>411</v>
      </c>
      <c r="C10" s="10"/>
      <c r="D10" s="10"/>
    </row>
    <row r="11" spans="1:9" x14ac:dyDescent="0.25">
      <c r="C11" s="10"/>
    </row>
    <row r="12" spans="1:9" x14ac:dyDescent="0.25">
      <c r="B12" s="154" t="s">
        <v>164</v>
      </c>
      <c r="C12" s="93"/>
      <c r="D12" s="5"/>
      <c r="E12" s="5"/>
      <c r="F12" s="5"/>
    </row>
    <row r="13" spans="1:9" x14ac:dyDescent="0.25">
      <c r="B13" s="7"/>
      <c r="C13" s="15"/>
      <c r="D13" s="7"/>
      <c r="E13" s="7"/>
      <c r="F13" s="7"/>
      <c r="G13" s="7"/>
      <c r="I13" s="107"/>
    </row>
    <row r="14" spans="1:9" ht="14.4" customHeight="1" x14ac:dyDescent="0.25">
      <c r="B14" s="110" t="s">
        <v>46</v>
      </c>
      <c r="C14" s="471" t="s">
        <v>165</v>
      </c>
      <c r="D14" s="471"/>
      <c r="E14" s="472" t="s">
        <v>166</v>
      </c>
      <c r="F14" s="472"/>
      <c r="G14" s="303"/>
    </row>
    <row r="15" spans="1:9" x14ac:dyDescent="0.25">
      <c r="A15" s="66"/>
      <c r="B15" s="1" t="s">
        <v>48</v>
      </c>
      <c r="C15" s="58">
        <v>1</v>
      </c>
      <c r="D15" s="1" t="s">
        <v>167</v>
      </c>
      <c r="E15" s="136">
        <f>42.722*0.832</f>
        <v>35.544704000000003</v>
      </c>
      <c r="F15" s="111" t="s">
        <v>168</v>
      </c>
      <c r="G15" s="111"/>
      <c r="H15" s="136"/>
    </row>
    <row r="16" spans="1:9" x14ac:dyDescent="0.25">
      <c r="B16" s="1" t="s">
        <v>49</v>
      </c>
      <c r="C16" s="58">
        <v>1</v>
      </c>
      <c r="D16" s="1" t="s">
        <v>167</v>
      </c>
      <c r="E16" s="136">
        <f>43.543*0.742</f>
        <v>32.308906</v>
      </c>
      <c r="F16" s="111" t="s">
        <v>168</v>
      </c>
      <c r="G16" s="111"/>
      <c r="H16" s="136"/>
    </row>
    <row r="17" spans="1:37" x14ac:dyDescent="0.25">
      <c r="A17" s="66"/>
      <c r="B17" s="1" t="s">
        <v>117</v>
      </c>
      <c r="C17" s="58">
        <v>1</v>
      </c>
      <c r="D17" s="1" t="s">
        <v>169</v>
      </c>
      <c r="E17" s="302">
        <v>46.5</v>
      </c>
      <c r="F17" s="111" t="s">
        <v>168</v>
      </c>
      <c r="G17" s="111"/>
    </row>
    <row r="18" spans="1:37" ht="21.6" customHeight="1" x14ac:dyDescent="0.25">
      <c r="B18" s="92" t="s">
        <v>411</v>
      </c>
      <c r="D18" s="106"/>
      <c r="E18" s="10"/>
    </row>
    <row r="20" spans="1:37" x14ac:dyDescent="0.25">
      <c r="B20" s="154" t="s">
        <v>412</v>
      </c>
      <c r="C20" s="5"/>
      <c r="D20" s="5"/>
      <c r="E20" s="5"/>
      <c r="F20" s="5"/>
      <c r="H20" s="2" t="s">
        <v>392</v>
      </c>
    </row>
    <row r="21" spans="1:37" x14ac:dyDescent="0.25">
      <c r="B21" s="66"/>
      <c r="I21" s="58" t="s">
        <v>111</v>
      </c>
      <c r="J21" s="135" t="s">
        <v>403</v>
      </c>
      <c r="K21" s="135"/>
      <c r="L21" s="135"/>
      <c r="M21" s="135"/>
      <c r="O21" s="137" t="s">
        <v>410</v>
      </c>
      <c r="P21" s="137"/>
      <c r="Q21" s="137"/>
      <c r="R21" s="137"/>
      <c r="S21" s="137"/>
    </row>
    <row r="22" spans="1:37" x14ac:dyDescent="0.25">
      <c r="B22" s="66"/>
      <c r="C22" s="63" t="s">
        <v>161</v>
      </c>
      <c r="D22" s="63" t="s">
        <v>162</v>
      </c>
      <c r="E22" s="1" t="s">
        <v>96</v>
      </c>
    </row>
    <row r="23" spans="1:37" ht="16.2" x14ac:dyDescent="0.35">
      <c r="A23" s="138" t="s">
        <v>11</v>
      </c>
      <c r="B23" s="7" t="s">
        <v>47</v>
      </c>
      <c r="C23" s="58">
        <v>0</v>
      </c>
      <c r="D23" s="298" t="e">
        <f>SUMIFS(J24:AE24, J23:AE23, "&gt;=" &amp; Anschaffungsjahr, J23:AE23,  "&lt;" &amp; Anschaffungsjahr + ROUND(Haltedauer, 0))/ROUND(Haltedauer, 0)</f>
        <v>#DIV/0!</v>
      </c>
      <c r="E23" s="74" t="s">
        <v>170</v>
      </c>
      <c r="F23" s="11"/>
      <c r="G23" s="11"/>
      <c r="I23" s="58" t="s">
        <v>171</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48</v>
      </c>
      <c r="C24" s="96">
        <f>C7*E15</f>
        <v>2631.2678030080001</v>
      </c>
      <c r="D24" s="96">
        <f>D7*E15</f>
        <v>831.74607360000005</v>
      </c>
      <c r="E24" s="12" t="s">
        <v>172</v>
      </c>
      <c r="I24" s="58" t="s">
        <v>445</v>
      </c>
      <c r="J24" s="299">
        <v>445</v>
      </c>
      <c r="K24" s="96">
        <v>408</v>
      </c>
      <c r="L24" s="300">
        <v>371</v>
      </c>
      <c r="M24" s="96">
        <v>331.2</v>
      </c>
      <c r="N24" s="96">
        <v>291.39999999999998</v>
      </c>
      <c r="O24" s="96">
        <v>251.60000000000002</v>
      </c>
      <c r="P24" s="96">
        <v>211.8</v>
      </c>
      <c r="Q24" s="300">
        <v>172</v>
      </c>
      <c r="R24" s="96">
        <v>158.80000000000001</v>
      </c>
      <c r="S24" s="96">
        <v>145.6</v>
      </c>
      <c r="T24" s="96">
        <v>132.4</v>
      </c>
      <c r="U24" s="96">
        <v>119.2</v>
      </c>
      <c r="V24" s="300">
        <v>106</v>
      </c>
      <c r="W24" s="96">
        <v>100</v>
      </c>
      <c r="X24" s="96">
        <v>94</v>
      </c>
      <c r="Y24" s="96">
        <v>88</v>
      </c>
      <c r="Z24" s="96">
        <v>82</v>
      </c>
      <c r="AA24" s="300">
        <v>76</v>
      </c>
      <c r="AB24" s="136">
        <v>76.400000000000006</v>
      </c>
      <c r="AC24" s="136">
        <v>76.8</v>
      </c>
      <c r="AD24" s="136">
        <v>77.2</v>
      </c>
      <c r="AE24" s="136">
        <v>77.599999999999994</v>
      </c>
      <c r="AF24" s="136">
        <v>78</v>
      </c>
      <c r="AG24" s="136">
        <v>78.400000000000006</v>
      </c>
      <c r="AH24" s="136">
        <v>78.8</v>
      </c>
      <c r="AI24" s="136">
        <v>79.2</v>
      </c>
      <c r="AJ24" s="136">
        <v>79.599999999999994</v>
      </c>
      <c r="AK24" s="300">
        <v>80</v>
      </c>
    </row>
    <row r="25" spans="1:37" ht="16.2" x14ac:dyDescent="0.35">
      <c r="B25" s="1" t="s">
        <v>49</v>
      </c>
      <c r="C25" s="96">
        <f>C8*E16</f>
        <v>2351.6683410220003</v>
      </c>
      <c r="D25" s="96">
        <f>D8*E16</f>
        <v>749.56661919999999</v>
      </c>
      <c r="E25" s="12" t="s">
        <v>172</v>
      </c>
    </row>
    <row r="26" spans="1:37" ht="16.2" x14ac:dyDescent="0.35">
      <c r="B26" s="1" t="s">
        <v>117</v>
      </c>
      <c r="C26" s="96">
        <f>C9*E17</f>
        <v>2614.2764999999999</v>
      </c>
      <c r="D26" s="96">
        <f>D9*E17</f>
        <v>943.95</v>
      </c>
      <c r="E26" s="12" t="s">
        <v>173</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207"/>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189</v>
      </c>
      <c r="Q2" s="106" t="s">
        <v>20</v>
      </c>
    </row>
    <row r="39" spans="2:9" ht="15" customHeight="1" x14ac:dyDescent="0.25">
      <c r="B39" s="234" t="s">
        <v>447</v>
      </c>
    </row>
    <row r="40" spans="2:9" ht="15" customHeight="1" x14ac:dyDescent="0.25">
      <c r="B40" s="234" t="s">
        <v>448</v>
      </c>
    </row>
    <row r="41" spans="2:9" ht="15" customHeight="1" x14ac:dyDescent="0.25">
      <c r="B41" s="234" t="s">
        <v>190</v>
      </c>
    </row>
    <row r="42" spans="2:9" ht="15" customHeight="1" x14ac:dyDescent="0.25">
      <c r="B42" s="234"/>
    </row>
    <row r="43" spans="2:9" ht="15" customHeight="1" x14ac:dyDescent="0.25">
      <c r="B43" s="234"/>
    </row>
    <row r="44" spans="2:9" ht="15" customHeight="1" x14ac:dyDescent="0.25">
      <c r="B44" s="2" t="s">
        <v>563</v>
      </c>
    </row>
    <row r="45" spans="2:9" ht="15" customHeight="1" x14ac:dyDescent="0.25">
      <c r="B45" s="267" t="s">
        <v>564</v>
      </c>
      <c r="I45" s="106"/>
    </row>
    <row r="46" spans="2:9" ht="15" customHeight="1" x14ac:dyDescent="0.25">
      <c r="B46" s="266"/>
      <c r="I46" s="106"/>
    </row>
    <row r="48" spans="2:9" x14ac:dyDescent="0.25">
      <c r="B48" s="2" t="s">
        <v>191</v>
      </c>
    </row>
    <row r="50" spans="2:4" x14ac:dyDescent="0.25">
      <c r="B50" s="1" t="s">
        <v>401</v>
      </c>
      <c r="D50" s="1" t="s">
        <v>565</v>
      </c>
    </row>
    <row r="51" spans="2:4" x14ac:dyDescent="0.25">
      <c r="B51" s="1" t="s">
        <v>192</v>
      </c>
      <c r="D51" s="1" t="s">
        <v>451</v>
      </c>
    </row>
    <row r="52" spans="2:4" x14ac:dyDescent="0.25">
      <c r="B52" s="1" t="s">
        <v>193</v>
      </c>
      <c r="D52" s="1" t="s">
        <v>566</v>
      </c>
    </row>
    <row r="53" spans="2:4" x14ac:dyDescent="0.25">
      <c r="B53" s="1" t="s">
        <v>194</v>
      </c>
      <c r="D53" s="1" t="s">
        <v>572</v>
      </c>
    </row>
    <row r="54" spans="2:4" x14ac:dyDescent="0.25">
      <c r="B54" s="1" t="s">
        <v>28</v>
      </c>
      <c r="D54" s="1" t="s">
        <v>573</v>
      </c>
    </row>
    <row r="55" spans="2:4" x14ac:dyDescent="0.25">
      <c r="B55" s="1" t="s">
        <v>195</v>
      </c>
      <c r="D55" s="1" t="s">
        <v>574</v>
      </c>
    </row>
    <row r="56" spans="2:4" x14ac:dyDescent="0.25">
      <c r="B56" s="1" t="s">
        <v>196</v>
      </c>
      <c r="D56" s="1" t="s">
        <v>576</v>
      </c>
    </row>
    <row r="57" spans="2:4" x14ac:dyDescent="0.25">
      <c r="B57" s="1" t="s">
        <v>577</v>
      </c>
      <c r="D57" s="1" t="s">
        <v>459</v>
      </c>
    </row>
    <row r="58" spans="2:4" x14ac:dyDescent="0.25">
      <c r="B58" s="1" t="s">
        <v>603</v>
      </c>
      <c r="D58" s="1" t="s">
        <v>458</v>
      </c>
    </row>
    <row r="59" spans="2:4" x14ac:dyDescent="0.25">
      <c r="B59" s="1" t="s">
        <v>197</v>
      </c>
      <c r="D59" s="1" t="s">
        <v>460</v>
      </c>
    </row>
    <row r="60" spans="2:4" x14ac:dyDescent="0.25">
      <c r="B60" s="1" t="s">
        <v>604</v>
      </c>
      <c r="D60" s="1" t="s">
        <v>605</v>
      </c>
    </row>
    <row r="61" spans="2:4" x14ac:dyDescent="0.25">
      <c r="B61" s="1" t="s">
        <v>198</v>
      </c>
      <c r="D61" s="1" t="s">
        <v>501</v>
      </c>
    </row>
    <row r="62" spans="2:4" x14ac:dyDescent="0.25">
      <c r="B62" s="1" t="s">
        <v>199</v>
      </c>
      <c r="D62" s="1" t="s">
        <v>200</v>
      </c>
    </row>
    <row r="63" spans="2:4" x14ac:dyDescent="0.25">
      <c r="B63" s="1" t="s">
        <v>201</v>
      </c>
      <c r="D63" s="1" t="s">
        <v>202</v>
      </c>
    </row>
    <row r="64" spans="2:4" x14ac:dyDescent="0.25">
      <c r="B64" s="1" t="s">
        <v>203</v>
      </c>
      <c r="D64" s="1" t="s">
        <v>204</v>
      </c>
    </row>
    <row r="65" spans="2:4" x14ac:dyDescent="0.25">
      <c r="B65" s="1" t="s">
        <v>205</v>
      </c>
      <c r="D65" s="1" t="s">
        <v>206</v>
      </c>
    </row>
    <row r="66" spans="2:4" x14ac:dyDescent="0.25">
      <c r="B66" s="1" t="s">
        <v>207</v>
      </c>
      <c r="D66" s="1" t="s">
        <v>208</v>
      </c>
    </row>
    <row r="67" spans="2:4" x14ac:dyDescent="0.25">
      <c r="B67" s="1" t="s">
        <v>209</v>
      </c>
      <c r="D67" s="1" t="s">
        <v>210</v>
      </c>
    </row>
    <row r="68" spans="2:4" x14ac:dyDescent="0.25">
      <c r="B68" s="1" t="s">
        <v>211</v>
      </c>
      <c r="D68" s="1" t="s">
        <v>212</v>
      </c>
    </row>
    <row r="69" spans="2:4" x14ac:dyDescent="0.25">
      <c r="B69" s="1" t="s">
        <v>213</v>
      </c>
      <c r="D69" s="1" t="s">
        <v>214</v>
      </c>
    </row>
    <row r="70" spans="2:4" x14ac:dyDescent="0.25">
      <c r="B70" s="1" t="s">
        <v>215</v>
      </c>
      <c r="D70" s="1" t="s">
        <v>216</v>
      </c>
    </row>
    <row r="71" spans="2:4" x14ac:dyDescent="0.25">
      <c r="B71" s="1" t="s">
        <v>217</v>
      </c>
      <c r="D71" s="1" t="s">
        <v>218</v>
      </c>
    </row>
    <row r="72" spans="2:4" x14ac:dyDescent="0.25">
      <c r="B72" s="1" t="s">
        <v>219</v>
      </c>
      <c r="D72" s="1" t="s">
        <v>529</v>
      </c>
    </row>
    <row r="73" spans="2:4" x14ac:dyDescent="0.25">
      <c r="B73" s="1" t="s">
        <v>221</v>
      </c>
      <c r="D73" s="1" t="s">
        <v>530</v>
      </c>
    </row>
    <row r="74" spans="2:4" x14ac:dyDescent="0.25">
      <c r="B74" s="1" t="s">
        <v>223</v>
      </c>
      <c r="D74" s="1" t="s">
        <v>531</v>
      </c>
    </row>
    <row r="75" spans="2:4" x14ac:dyDescent="0.25">
      <c r="B75" s="1" t="s">
        <v>225</v>
      </c>
      <c r="D75" s="1" t="s">
        <v>532</v>
      </c>
    </row>
    <row r="76" spans="2:4" x14ac:dyDescent="0.25">
      <c r="B76" s="1" t="s">
        <v>227</v>
      </c>
      <c r="D76" s="1" t="s">
        <v>533</v>
      </c>
    </row>
    <row r="77" spans="2:4" x14ac:dyDescent="0.25">
      <c r="B77" s="1" t="s">
        <v>229</v>
      </c>
      <c r="D77" s="1" t="s">
        <v>290</v>
      </c>
    </row>
    <row r="78" spans="2:4" x14ac:dyDescent="0.25">
      <c r="B78" s="1" t="s">
        <v>231</v>
      </c>
      <c r="D78" s="1" t="s">
        <v>292</v>
      </c>
    </row>
    <row r="79" spans="2:4" x14ac:dyDescent="0.25">
      <c r="B79" s="1" t="s">
        <v>233</v>
      </c>
      <c r="D79" s="1" t="s">
        <v>294</v>
      </c>
    </row>
    <row r="80" spans="2:4" x14ac:dyDescent="0.25">
      <c r="B80" s="1" t="s">
        <v>235</v>
      </c>
      <c r="D80" s="1" t="s">
        <v>296</v>
      </c>
    </row>
    <row r="81" spans="2:4" x14ac:dyDescent="0.25">
      <c r="B81" s="1" t="s">
        <v>237</v>
      </c>
      <c r="D81" s="1" t="s">
        <v>298</v>
      </c>
    </row>
    <row r="82" spans="2:4" x14ac:dyDescent="0.25">
      <c r="B82" s="1" t="s">
        <v>239</v>
      </c>
      <c r="D82" s="1" t="s">
        <v>240</v>
      </c>
    </row>
    <row r="83" spans="2:4" x14ac:dyDescent="0.25">
      <c r="B83" s="1" t="s">
        <v>241</v>
      </c>
      <c r="D83" s="1" t="s">
        <v>242</v>
      </c>
    </row>
    <row r="84" spans="2:4" x14ac:dyDescent="0.25">
      <c r="B84" s="1" t="s">
        <v>243</v>
      </c>
      <c r="D84" s="1" t="s">
        <v>244</v>
      </c>
    </row>
    <row r="85" spans="2:4" x14ac:dyDescent="0.25">
      <c r="B85" s="1" t="s">
        <v>245</v>
      </c>
      <c r="D85" s="1" t="s">
        <v>246</v>
      </c>
    </row>
    <row r="86" spans="2:4" x14ac:dyDescent="0.25">
      <c r="B86" s="1" t="s">
        <v>247</v>
      </c>
      <c r="D86" s="1" t="s">
        <v>248</v>
      </c>
    </row>
    <row r="87" spans="2:4" x14ac:dyDescent="0.25">
      <c r="B87" s="1" t="s">
        <v>567</v>
      </c>
      <c r="D87" s="1" t="s">
        <v>250</v>
      </c>
    </row>
    <row r="88" spans="2:4" x14ac:dyDescent="0.25">
      <c r="B88" s="1" t="s">
        <v>568</v>
      </c>
      <c r="D88" s="1" t="s">
        <v>252</v>
      </c>
    </row>
    <row r="89" spans="2:4" x14ac:dyDescent="0.25">
      <c r="B89" s="1" t="s">
        <v>569</v>
      </c>
      <c r="D89" s="1" t="s">
        <v>254</v>
      </c>
    </row>
    <row r="90" spans="2:4" x14ac:dyDescent="0.25">
      <c r="B90" s="1" t="s">
        <v>570</v>
      </c>
      <c r="D90" s="1" t="s">
        <v>256</v>
      </c>
    </row>
    <row r="91" spans="2:4" x14ac:dyDescent="0.25">
      <c r="B91" s="1" t="s">
        <v>571</v>
      </c>
      <c r="D91" s="1" t="s">
        <v>258</v>
      </c>
    </row>
    <row r="92" spans="2:4" x14ac:dyDescent="0.25">
      <c r="B92" s="1" t="s">
        <v>249</v>
      </c>
      <c r="D92" s="1" t="s">
        <v>270</v>
      </c>
    </row>
    <row r="93" spans="2:4" x14ac:dyDescent="0.25">
      <c r="B93" s="1" t="s">
        <v>251</v>
      </c>
      <c r="D93" s="1" t="s">
        <v>272</v>
      </c>
    </row>
    <row r="94" spans="2:4" x14ac:dyDescent="0.25">
      <c r="B94" s="1" t="s">
        <v>253</v>
      </c>
      <c r="D94" s="1" t="s">
        <v>274</v>
      </c>
    </row>
    <row r="95" spans="2:4" x14ac:dyDescent="0.25">
      <c r="B95" s="1" t="s">
        <v>255</v>
      </c>
      <c r="D95" s="1" t="s">
        <v>276</v>
      </c>
    </row>
    <row r="96" spans="2:4" x14ac:dyDescent="0.25">
      <c r="B96" s="1" t="s">
        <v>257</v>
      </c>
      <c r="D96" s="1" t="s">
        <v>278</v>
      </c>
    </row>
    <row r="97" spans="2:4" x14ac:dyDescent="0.25">
      <c r="B97" s="1" t="s">
        <v>259</v>
      </c>
      <c r="D97" s="1" t="s">
        <v>260</v>
      </c>
    </row>
    <row r="98" spans="2:4" x14ac:dyDescent="0.25">
      <c r="B98" s="1" t="s">
        <v>261</v>
      </c>
      <c r="D98" s="1" t="s">
        <v>262</v>
      </c>
    </row>
    <row r="99" spans="2:4" x14ac:dyDescent="0.25">
      <c r="B99" s="1" t="s">
        <v>263</v>
      </c>
      <c r="D99" s="1" t="s">
        <v>264</v>
      </c>
    </row>
    <row r="100" spans="2:4" x14ac:dyDescent="0.25">
      <c r="B100" s="1" t="s">
        <v>265</v>
      </c>
      <c r="D100" s="1" t="s">
        <v>266</v>
      </c>
    </row>
    <row r="101" spans="2:4" x14ac:dyDescent="0.25">
      <c r="B101" s="1" t="s">
        <v>267</v>
      </c>
      <c r="D101" s="1" t="s">
        <v>268</v>
      </c>
    </row>
    <row r="102" spans="2:4" x14ac:dyDescent="0.25">
      <c r="B102" s="1" t="s">
        <v>269</v>
      </c>
      <c r="D102" s="1" t="s">
        <v>330</v>
      </c>
    </row>
    <row r="103" spans="2:4" x14ac:dyDescent="0.25">
      <c r="B103" s="1" t="s">
        <v>271</v>
      </c>
      <c r="D103" s="1" t="s">
        <v>332</v>
      </c>
    </row>
    <row r="104" spans="2:4" x14ac:dyDescent="0.25">
      <c r="B104" s="1" t="s">
        <v>273</v>
      </c>
      <c r="D104" s="1" t="s">
        <v>334</v>
      </c>
    </row>
    <row r="105" spans="2:4" x14ac:dyDescent="0.25">
      <c r="B105" s="1" t="s">
        <v>275</v>
      </c>
      <c r="D105" s="1" t="s">
        <v>336</v>
      </c>
    </row>
    <row r="106" spans="2:4" x14ac:dyDescent="0.25">
      <c r="B106" s="1" t="s">
        <v>277</v>
      </c>
      <c r="D106" s="1" t="s">
        <v>338</v>
      </c>
    </row>
    <row r="107" spans="2:4" x14ac:dyDescent="0.25">
      <c r="B107" s="1" t="s">
        <v>279</v>
      </c>
      <c r="D107" s="1" t="s">
        <v>280</v>
      </c>
    </row>
    <row r="108" spans="2:4" x14ac:dyDescent="0.25">
      <c r="B108" s="1" t="s">
        <v>281</v>
      </c>
      <c r="D108" s="1" t="s">
        <v>282</v>
      </c>
    </row>
    <row r="109" spans="2:4" x14ac:dyDescent="0.25">
      <c r="B109" s="1" t="s">
        <v>283</v>
      </c>
      <c r="D109" s="1" t="s">
        <v>284</v>
      </c>
    </row>
    <row r="110" spans="2:4" x14ac:dyDescent="0.25">
      <c r="B110" s="1" t="s">
        <v>285</v>
      </c>
      <c r="D110" s="1" t="s">
        <v>286</v>
      </c>
    </row>
    <row r="111" spans="2:4" x14ac:dyDescent="0.25">
      <c r="B111" s="1" t="s">
        <v>287</v>
      </c>
      <c r="D111" s="1" t="s">
        <v>288</v>
      </c>
    </row>
    <row r="112" spans="2:4" x14ac:dyDescent="0.25">
      <c r="B112" s="1" t="s">
        <v>289</v>
      </c>
      <c r="D112" s="1" t="s">
        <v>300</v>
      </c>
    </row>
    <row r="113" spans="2:4" x14ac:dyDescent="0.25">
      <c r="B113" s="1" t="s">
        <v>291</v>
      </c>
      <c r="D113" s="1" t="s">
        <v>302</v>
      </c>
    </row>
    <row r="114" spans="2:4" x14ac:dyDescent="0.25">
      <c r="B114" s="1" t="s">
        <v>293</v>
      </c>
      <c r="D114" s="1" t="s">
        <v>304</v>
      </c>
    </row>
    <row r="115" spans="2:4" x14ac:dyDescent="0.25">
      <c r="B115" s="1" t="s">
        <v>295</v>
      </c>
      <c r="D115" s="1" t="s">
        <v>306</v>
      </c>
    </row>
    <row r="116" spans="2:4" x14ac:dyDescent="0.25">
      <c r="B116" s="1" t="s">
        <v>297</v>
      </c>
      <c r="D116" s="1" t="s">
        <v>308</v>
      </c>
    </row>
    <row r="117" spans="2:4" x14ac:dyDescent="0.25">
      <c r="B117" s="1" t="s">
        <v>299</v>
      </c>
      <c r="D117" s="1" t="s">
        <v>310</v>
      </c>
    </row>
    <row r="118" spans="2:4" x14ac:dyDescent="0.25">
      <c r="B118" s="1" t="s">
        <v>301</v>
      </c>
      <c r="D118" s="1" t="s">
        <v>312</v>
      </c>
    </row>
    <row r="119" spans="2:4" x14ac:dyDescent="0.25">
      <c r="B119" s="1" t="s">
        <v>303</v>
      </c>
      <c r="D119" s="1" t="s">
        <v>314</v>
      </c>
    </row>
    <row r="120" spans="2:4" x14ac:dyDescent="0.25">
      <c r="B120" s="1" t="s">
        <v>305</v>
      </c>
      <c r="D120" s="1" t="s">
        <v>316</v>
      </c>
    </row>
    <row r="121" spans="2:4" x14ac:dyDescent="0.25">
      <c r="B121" s="1" t="s">
        <v>307</v>
      </c>
      <c r="D121" s="1" t="s">
        <v>318</v>
      </c>
    </row>
    <row r="122" spans="2:4" x14ac:dyDescent="0.25">
      <c r="B122" s="1" t="s">
        <v>309</v>
      </c>
      <c r="D122" s="1" t="s">
        <v>220</v>
      </c>
    </row>
    <row r="123" spans="2:4" x14ac:dyDescent="0.25">
      <c r="B123" s="1" t="s">
        <v>311</v>
      </c>
      <c r="D123" s="1" t="s">
        <v>222</v>
      </c>
    </row>
    <row r="124" spans="2:4" x14ac:dyDescent="0.25">
      <c r="B124" s="1" t="s">
        <v>313</v>
      </c>
      <c r="D124" s="1" t="s">
        <v>224</v>
      </c>
    </row>
    <row r="125" spans="2:4" x14ac:dyDescent="0.25">
      <c r="B125" s="1" t="s">
        <v>315</v>
      </c>
      <c r="D125" s="1" t="s">
        <v>226</v>
      </c>
    </row>
    <row r="126" spans="2:4" x14ac:dyDescent="0.25">
      <c r="B126" s="1" t="s">
        <v>317</v>
      </c>
      <c r="D126" s="1" t="s">
        <v>228</v>
      </c>
    </row>
    <row r="127" spans="2:4" x14ac:dyDescent="0.25">
      <c r="B127" s="1" t="s">
        <v>319</v>
      </c>
      <c r="D127" s="1" t="s">
        <v>230</v>
      </c>
    </row>
    <row r="128" spans="2:4" x14ac:dyDescent="0.25">
      <c r="B128" s="1" t="s">
        <v>321</v>
      </c>
      <c r="D128" s="1" t="s">
        <v>232</v>
      </c>
    </row>
    <row r="129" spans="2:4" x14ac:dyDescent="0.25">
      <c r="B129" s="1" t="s">
        <v>323</v>
      </c>
      <c r="D129" s="1" t="s">
        <v>234</v>
      </c>
    </row>
    <row r="130" spans="2:4" x14ac:dyDescent="0.25">
      <c r="B130" s="1" t="s">
        <v>325</v>
      </c>
      <c r="D130" s="1" t="s">
        <v>236</v>
      </c>
    </row>
    <row r="131" spans="2:4" x14ac:dyDescent="0.25">
      <c r="B131" s="1" t="s">
        <v>327</v>
      </c>
      <c r="D131" s="1" t="s">
        <v>238</v>
      </c>
    </row>
    <row r="132" spans="2:4" x14ac:dyDescent="0.25">
      <c r="B132" s="1" t="s">
        <v>329</v>
      </c>
      <c r="D132" s="1" t="s">
        <v>320</v>
      </c>
    </row>
    <row r="133" spans="2:4" x14ac:dyDescent="0.25">
      <c r="B133" s="1" t="s">
        <v>331</v>
      </c>
      <c r="D133" s="1" t="s">
        <v>322</v>
      </c>
    </row>
    <row r="134" spans="2:4" x14ac:dyDescent="0.25">
      <c r="B134" s="1" t="s">
        <v>333</v>
      </c>
      <c r="D134" s="1" t="s">
        <v>324</v>
      </c>
    </row>
    <row r="135" spans="2:4" x14ac:dyDescent="0.25">
      <c r="B135" s="1" t="s">
        <v>335</v>
      </c>
      <c r="D135" s="1" t="s">
        <v>326</v>
      </c>
    </row>
    <row r="136" spans="2:4" x14ac:dyDescent="0.25">
      <c r="B136" s="1" t="s">
        <v>337</v>
      </c>
      <c r="D136" s="1" t="s">
        <v>328</v>
      </c>
    </row>
    <row r="137" spans="2:4" x14ac:dyDescent="0.25">
      <c r="B137" s="1" t="s">
        <v>471</v>
      </c>
      <c r="D137" s="1" t="s">
        <v>478</v>
      </c>
    </row>
    <row r="138" spans="2:4" x14ac:dyDescent="0.25">
      <c r="B138" s="1" t="s">
        <v>472</v>
      </c>
      <c r="D138" s="1" t="s">
        <v>480</v>
      </c>
    </row>
    <row r="139" spans="2:4" x14ac:dyDescent="0.25">
      <c r="B139" s="1" t="s">
        <v>473</v>
      </c>
      <c r="D139" s="1" t="s">
        <v>482</v>
      </c>
    </row>
    <row r="140" spans="2:4" x14ac:dyDescent="0.25">
      <c r="B140" s="1" t="s">
        <v>474</v>
      </c>
      <c r="D140" s="1" t="s">
        <v>484</v>
      </c>
    </row>
    <row r="141" spans="2:4" x14ac:dyDescent="0.25">
      <c r="B141" s="1" t="s">
        <v>475</v>
      </c>
      <c r="D141" s="1" t="s">
        <v>486</v>
      </c>
    </row>
    <row r="142" spans="2:4" x14ac:dyDescent="0.25">
      <c r="B142" s="1" t="s">
        <v>476</v>
      </c>
      <c r="D142" s="1" t="s">
        <v>488</v>
      </c>
    </row>
    <row r="143" spans="2:4" x14ac:dyDescent="0.25">
      <c r="B143" s="1" t="s">
        <v>477</v>
      </c>
      <c r="D143" s="1" t="s">
        <v>490</v>
      </c>
    </row>
    <row r="144" spans="2:4" x14ac:dyDescent="0.25">
      <c r="B144" s="1" t="s">
        <v>479</v>
      </c>
      <c r="D144" s="1" t="s">
        <v>492</v>
      </c>
    </row>
    <row r="145" spans="2:4" x14ac:dyDescent="0.25">
      <c r="B145" s="1" t="s">
        <v>481</v>
      </c>
      <c r="D145" s="1" t="s">
        <v>494</v>
      </c>
    </row>
    <row r="146" spans="2:4" x14ac:dyDescent="0.25">
      <c r="B146" s="1" t="s">
        <v>483</v>
      </c>
      <c r="D146" s="1" t="s">
        <v>496</v>
      </c>
    </row>
    <row r="147" spans="2:4" x14ac:dyDescent="0.25">
      <c r="B147" s="1" t="s">
        <v>485</v>
      </c>
      <c r="D147" s="1" t="s">
        <v>498</v>
      </c>
    </row>
    <row r="148" spans="2:4" x14ac:dyDescent="0.25">
      <c r="B148" s="1" t="s">
        <v>487</v>
      </c>
      <c r="D148" s="1" t="s">
        <v>500</v>
      </c>
    </row>
    <row r="149" spans="2:4" x14ac:dyDescent="0.25">
      <c r="B149" s="1" t="s">
        <v>489</v>
      </c>
      <c r="D149" s="1" t="s">
        <v>551</v>
      </c>
    </row>
    <row r="150" spans="2:4" x14ac:dyDescent="0.25">
      <c r="B150" s="1" t="s">
        <v>491</v>
      </c>
      <c r="D150" s="1" t="s">
        <v>552</v>
      </c>
    </row>
    <row r="151" spans="2:4" x14ac:dyDescent="0.25">
      <c r="B151" s="1" t="s">
        <v>493</v>
      </c>
      <c r="D151" s="1" t="s">
        <v>553</v>
      </c>
    </row>
    <row r="152" spans="2:4" x14ac:dyDescent="0.25">
      <c r="B152" s="1" t="s">
        <v>495</v>
      </c>
      <c r="D152" s="1" t="s">
        <v>554</v>
      </c>
    </row>
    <row r="153" spans="2:4" x14ac:dyDescent="0.25">
      <c r="B153" s="1" t="s">
        <v>497</v>
      </c>
      <c r="D153" s="1" t="s">
        <v>555</v>
      </c>
    </row>
    <row r="154" spans="2:4" x14ac:dyDescent="0.25">
      <c r="B154" s="1" t="s">
        <v>499</v>
      </c>
      <c r="D154" s="1" t="s">
        <v>556</v>
      </c>
    </row>
    <row r="155" spans="2:4" x14ac:dyDescent="0.25">
      <c r="B155" s="1" t="s">
        <v>339</v>
      </c>
      <c r="D155" s="1" t="s">
        <v>340</v>
      </c>
    </row>
    <row r="156" spans="2:4" x14ac:dyDescent="0.25">
      <c r="B156" s="1" t="s">
        <v>341</v>
      </c>
      <c r="D156" s="1" t="s">
        <v>342</v>
      </c>
    </row>
    <row r="157" spans="2:4" x14ac:dyDescent="0.25">
      <c r="B157" s="1" t="s">
        <v>343</v>
      </c>
      <c r="D157" s="1" t="s">
        <v>344</v>
      </c>
    </row>
    <row r="158" spans="2:4" x14ac:dyDescent="0.25">
      <c r="B158" s="1" t="s">
        <v>345</v>
      </c>
      <c r="D158" s="1" t="s">
        <v>346</v>
      </c>
    </row>
    <row r="159" spans="2:4" x14ac:dyDescent="0.25">
      <c r="B159" s="1" t="s">
        <v>347</v>
      </c>
      <c r="D159" s="1" t="s">
        <v>348</v>
      </c>
    </row>
    <row r="160" spans="2:4" x14ac:dyDescent="0.25">
      <c r="B160" s="1" t="s">
        <v>366</v>
      </c>
      <c r="D160" s="1" t="s">
        <v>528</v>
      </c>
    </row>
    <row r="161" spans="2:4" x14ac:dyDescent="0.25">
      <c r="B161" s="1" t="s">
        <v>349</v>
      </c>
      <c r="D161" s="1" t="s">
        <v>535</v>
      </c>
    </row>
    <row r="162" spans="2:4" x14ac:dyDescent="0.25">
      <c r="B162" s="1" t="s">
        <v>350</v>
      </c>
      <c r="D162" s="1" t="s">
        <v>537</v>
      </c>
    </row>
    <row r="163" spans="2:4" x14ac:dyDescent="0.25">
      <c r="B163" s="1" t="s">
        <v>351</v>
      </c>
      <c r="D163" s="1" t="s">
        <v>538</v>
      </c>
    </row>
    <row r="164" spans="2:4" x14ac:dyDescent="0.25">
      <c r="B164" s="1" t="s">
        <v>352</v>
      </c>
      <c r="D164" s="1" t="s">
        <v>539</v>
      </c>
    </row>
    <row r="165" spans="2:4" x14ac:dyDescent="0.25">
      <c r="B165" s="1" t="s">
        <v>504</v>
      </c>
      <c r="D165" s="1" t="s">
        <v>540</v>
      </c>
    </row>
    <row r="166" spans="2:4" x14ac:dyDescent="0.25">
      <c r="B166" s="1" t="s">
        <v>505</v>
      </c>
      <c r="D166" s="1" t="s">
        <v>541</v>
      </c>
    </row>
    <row r="167" spans="2:4" x14ac:dyDescent="0.25">
      <c r="B167" s="1" t="s">
        <v>506</v>
      </c>
      <c r="D167" s="1" t="s">
        <v>542</v>
      </c>
    </row>
    <row r="168" spans="2:4" x14ac:dyDescent="0.25">
      <c r="B168" s="1" t="s">
        <v>578</v>
      </c>
      <c r="D168" s="1" t="s">
        <v>579</v>
      </c>
    </row>
    <row r="169" spans="2:4" x14ac:dyDescent="0.25">
      <c r="B169" s="1" t="s">
        <v>580</v>
      </c>
      <c r="D169" s="1" t="s">
        <v>581</v>
      </c>
    </row>
    <row r="170" spans="2:4" x14ac:dyDescent="0.25">
      <c r="B170" s="1" t="s">
        <v>582</v>
      </c>
      <c r="D170" s="1" t="s">
        <v>545</v>
      </c>
    </row>
    <row r="171" spans="2:4" x14ac:dyDescent="0.25">
      <c r="B171" s="1" t="s">
        <v>583</v>
      </c>
      <c r="D171" s="1" t="s">
        <v>584</v>
      </c>
    </row>
    <row r="172" spans="2:4" x14ac:dyDescent="0.25">
      <c r="B172" s="1" t="s">
        <v>585</v>
      </c>
      <c r="D172" s="1" t="s">
        <v>543</v>
      </c>
    </row>
    <row r="173" spans="2:4" x14ac:dyDescent="0.25">
      <c r="B173" s="1" t="s">
        <v>353</v>
      </c>
      <c r="D173" s="1" t="s">
        <v>544</v>
      </c>
    </row>
    <row r="174" spans="2:4" x14ac:dyDescent="0.25">
      <c r="B174" s="1" t="s">
        <v>586</v>
      </c>
      <c r="D174" s="1" t="s">
        <v>587</v>
      </c>
    </row>
    <row r="175" spans="2:4" x14ac:dyDescent="0.25">
      <c r="B175" s="1" t="s">
        <v>588</v>
      </c>
      <c r="D175" s="1" t="s">
        <v>547</v>
      </c>
    </row>
    <row r="176" spans="2:4" x14ac:dyDescent="0.25">
      <c r="B176" s="1" t="s">
        <v>589</v>
      </c>
      <c r="D176" s="1" t="s">
        <v>590</v>
      </c>
    </row>
    <row r="177" spans="2:4" x14ac:dyDescent="0.25">
      <c r="B177" s="1" t="s">
        <v>591</v>
      </c>
      <c r="D177" s="1" t="s">
        <v>546</v>
      </c>
    </row>
    <row r="178" spans="2:4" x14ac:dyDescent="0.25">
      <c r="B178" s="1" t="s">
        <v>592</v>
      </c>
      <c r="D178" s="1" t="s">
        <v>548</v>
      </c>
    </row>
    <row r="179" spans="2:4" x14ac:dyDescent="0.25">
      <c r="B179" s="1" t="s">
        <v>593</v>
      </c>
      <c r="D179" s="1" t="s">
        <v>594</v>
      </c>
    </row>
    <row r="180" spans="2:4" x14ac:dyDescent="0.25">
      <c r="B180" s="1" t="s">
        <v>595</v>
      </c>
      <c r="D180" s="1" t="s">
        <v>596</v>
      </c>
    </row>
    <row r="181" spans="2:4" x14ac:dyDescent="0.25">
      <c r="B181" s="1" t="s">
        <v>354</v>
      </c>
      <c r="D181" s="1" t="s">
        <v>549</v>
      </c>
    </row>
    <row r="182" spans="2:4" x14ac:dyDescent="0.25">
      <c r="B182" s="1" t="s">
        <v>355</v>
      </c>
      <c r="D182" s="1" t="s">
        <v>550</v>
      </c>
    </row>
    <row r="183" spans="2:4" x14ac:dyDescent="0.25">
      <c r="B183" s="1" t="s">
        <v>181</v>
      </c>
      <c r="D183" s="1" t="s">
        <v>452</v>
      </c>
    </row>
    <row r="184" spans="2:4" x14ac:dyDescent="0.25">
      <c r="B184" s="1" t="s">
        <v>356</v>
      </c>
      <c r="D184" s="1" t="s">
        <v>461</v>
      </c>
    </row>
    <row r="185" spans="2:4" x14ac:dyDescent="0.25">
      <c r="B185" s="1" t="s">
        <v>361</v>
      </c>
      <c r="D185" s="1" t="s">
        <v>466</v>
      </c>
    </row>
    <row r="186" spans="2:4" x14ac:dyDescent="0.25">
      <c r="B186" s="1" t="s">
        <v>182</v>
      </c>
      <c r="D186" s="1" t="s">
        <v>453</v>
      </c>
    </row>
    <row r="187" spans="2:4" x14ac:dyDescent="0.25">
      <c r="B187" s="1" t="s">
        <v>357</v>
      </c>
      <c r="D187" s="1" t="s">
        <v>462</v>
      </c>
    </row>
    <row r="188" spans="2:4" x14ac:dyDescent="0.25">
      <c r="B188" s="1" t="s">
        <v>362</v>
      </c>
      <c r="D188" s="1" t="s">
        <v>467</v>
      </c>
    </row>
    <row r="189" spans="2:4" x14ac:dyDescent="0.25">
      <c r="B189" s="1" t="s">
        <v>183</v>
      </c>
      <c r="D189" s="1" t="s">
        <v>454</v>
      </c>
    </row>
    <row r="190" spans="2:4" x14ac:dyDescent="0.25">
      <c r="B190" s="1" t="s">
        <v>358</v>
      </c>
      <c r="D190" s="1" t="s">
        <v>463</v>
      </c>
    </row>
    <row r="191" spans="2:4" x14ac:dyDescent="0.25">
      <c r="B191" s="1" t="s">
        <v>363</v>
      </c>
      <c r="D191" s="1" t="s">
        <v>468</v>
      </c>
    </row>
    <row r="192" spans="2:4" x14ac:dyDescent="0.25">
      <c r="B192" s="1" t="s">
        <v>185</v>
      </c>
      <c r="D192" s="1" t="s">
        <v>455</v>
      </c>
    </row>
    <row r="193" spans="2:4" x14ac:dyDescent="0.25">
      <c r="B193" s="1" t="s">
        <v>359</v>
      </c>
      <c r="D193" s="1" t="s">
        <v>464</v>
      </c>
    </row>
    <row r="194" spans="2:4" x14ac:dyDescent="0.25">
      <c r="B194" s="1" t="s">
        <v>364</v>
      </c>
      <c r="D194" s="1" t="s">
        <v>469</v>
      </c>
    </row>
    <row r="195" spans="2:4" x14ac:dyDescent="0.25">
      <c r="B195" s="1" t="s">
        <v>186</v>
      </c>
      <c r="D195" s="1" t="s">
        <v>456</v>
      </c>
    </row>
    <row r="196" spans="2:4" x14ac:dyDescent="0.25">
      <c r="B196" s="1" t="s">
        <v>360</v>
      </c>
      <c r="D196" s="1" t="s">
        <v>465</v>
      </c>
    </row>
    <row r="197" spans="2:4" x14ac:dyDescent="0.25">
      <c r="B197" s="1" t="s">
        <v>365</v>
      </c>
      <c r="D197" s="1" t="s">
        <v>470</v>
      </c>
    </row>
    <row r="198" spans="2:4" x14ac:dyDescent="0.25">
      <c r="B198" s="1" t="s">
        <v>367</v>
      </c>
      <c r="D198" s="1" t="s">
        <v>450</v>
      </c>
    </row>
    <row r="199" spans="2:4" x14ac:dyDescent="0.25">
      <c r="B199" s="1" t="s">
        <v>368</v>
      </c>
      <c r="D199" s="1" t="s">
        <v>457</v>
      </c>
    </row>
    <row r="200" spans="2:4" x14ac:dyDescent="0.25">
      <c r="B200" s="1" t="s">
        <v>369</v>
      </c>
      <c r="D200" s="1" t="s">
        <v>527</v>
      </c>
    </row>
    <row r="201" spans="2:4" x14ac:dyDescent="0.25">
      <c r="B201" s="1" t="s">
        <v>370</v>
      </c>
      <c r="D201" s="1" t="s">
        <v>534</v>
      </c>
    </row>
    <row r="202" spans="2:4" x14ac:dyDescent="0.25">
      <c r="B202" s="1" t="s">
        <v>371</v>
      </c>
      <c r="D202" s="1" t="s">
        <v>372</v>
      </c>
    </row>
    <row r="203" spans="2:4" x14ac:dyDescent="0.25">
      <c r="B203" s="1" t="s">
        <v>373</v>
      </c>
      <c r="D203" s="1" t="s">
        <v>536</v>
      </c>
    </row>
    <row r="204" spans="2:4" x14ac:dyDescent="0.25">
      <c r="B204" s="1" t="s">
        <v>374</v>
      </c>
      <c r="D204" s="1" t="s">
        <v>575</v>
      </c>
    </row>
    <row r="205" spans="2:4" x14ac:dyDescent="0.25">
      <c r="B205" s="1" t="s">
        <v>597</v>
      </c>
      <c r="D205" s="1" t="s">
        <v>598</v>
      </c>
    </row>
    <row r="206" spans="2:4" x14ac:dyDescent="0.25">
      <c r="B206" s="1" t="s">
        <v>599</v>
      </c>
      <c r="D206" s="1" t="s">
        <v>600</v>
      </c>
    </row>
    <row r="207" spans="2:4" x14ac:dyDescent="0.25">
      <c r="B207" s="1" t="s">
        <v>601</v>
      </c>
      <c r="D207" s="1" t="s">
        <v>602</v>
      </c>
    </row>
  </sheetData>
  <sheetProtection sheet="1" objects="1" scenarios="1"/>
  <sortState ref="I50:L207">
    <sortCondition ref="K50:K207"/>
  </sortState>
  <hyperlinks>
    <hyperlink ref="Q2" location="Anleitung!A1" display="zurück zu &quot;Anleitung&quot;" xr:uid="{00000000-0004-0000-0D00-000000000000}"/>
    <hyperlink ref="B45" r:id="rId1" xr:uid="{00000000-0004-0000-0D00-000001000000}"/>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7"/>
  <sheetViews>
    <sheetView showGridLines="0" zoomScaleNormal="100" workbookViewId="0"/>
  </sheetViews>
  <sheetFormatPr baseColWidth="10" defaultColWidth="11.5546875" defaultRowHeight="13.8" x14ac:dyDescent="0.25"/>
  <cols>
    <col min="1" max="1" width="4.5546875" style="1" customWidth="1"/>
    <col min="2" max="2" width="16.88671875" style="1" customWidth="1"/>
    <col min="3" max="16384" width="11.5546875" style="1"/>
  </cols>
  <sheetData>
    <row r="2" spans="2:6" x14ac:dyDescent="0.25">
      <c r="B2" s="3" t="s">
        <v>174</v>
      </c>
      <c r="C2" s="5"/>
      <c r="D2" s="5"/>
      <c r="E2" s="5"/>
      <c r="F2" s="5"/>
    </row>
    <row r="3" spans="2:6" x14ac:dyDescent="0.25">
      <c r="B3" s="1" t="s">
        <v>27</v>
      </c>
      <c r="C3" s="1" t="s">
        <v>57</v>
      </c>
      <c r="D3" s="1" t="s">
        <v>175</v>
      </c>
    </row>
    <row r="4" spans="2:6" x14ac:dyDescent="0.25">
      <c r="B4" s="1" t="s">
        <v>176</v>
      </c>
      <c r="C4" s="1" t="s">
        <v>177</v>
      </c>
      <c r="D4" s="1" t="s">
        <v>178</v>
      </c>
    </row>
    <row r="5" spans="2:6" x14ac:dyDescent="0.25">
      <c r="B5" s="1" t="s">
        <v>179</v>
      </c>
      <c r="C5" s="1" t="s">
        <v>177</v>
      </c>
      <c r="D5" s="1" t="s">
        <v>180</v>
      </c>
    </row>
    <row r="7" spans="2:6" x14ac:dyDescent="0.25">
      <c r="B7" s="3" t="s">
        <v>188</v>
      </c>
      <c r="C7" s="5"/>
      <c r="D7" s="5"/>
      <c r="E7" s="5"/>
      <c r="F7" s="5"/>
    </row>
    <row r="8" spans="2:6" x14ac:dyDescent="0.25">
      <c r="B8" s="1" t="s">
        <v>78</v>
      </c>
    </row>
    <row r="9" spans="2:6" x14ac:dyDescent="0.25">
      <c r="B9" s="1" t="s">
        <v>31</v>
      </c>
    </row>
    <row r="11" spans="2:6" x14ac:dyDescent="0.25">
      <c r="B11" s="3" t="s">
        <v>42</v>
      </c>
      <c r="C11" s="5"/>
      <c r="D11" s="5"/>
      <c r="E11" s="5"/>
      <c r="F11" s="5"/>
    </row>
    <row r="12" spans="2:6" x14ac:dyDescent="0.25">
      <c r="B12" s="1" t="s">
        <v>43</v>
      </c>
    </row>
    <row r="13" spans="2:6" x14ac:dyDescent="0.25">
      <c r="B13" s="1" t="s">
        <v>45</v>
      </c>
    </row>
    <row r="14" spans="2:6" x14ac:dyDescent="0.25">
      <c r="B14" s="1" t="s">
        <v>44</v>
      </c>
    </row>
    <row r="16" spans="2:6" x14ac:dyDescent="0.25">
      <c r="B16" s="3" t="s">
        <v>46</v>
      </c>
      <c r="C16" s="5"/>
      <c r="D16" s="5"/>
      <c r="E16" s="5"/>
      <c r="F16" s="5"/>
    </row>
    <row r="17" spans="2:6" x14ac:dyDescent="0.25">
      <c r="B17" s="1" t="s">
        <v>181</v>
      </c>
    </row>
    <row r="18" spans="2:6" x14ac:dyDescent="0.25">
      <c r="B18" s="1" t="s">
        <v>182</v>
      </c>
      <c r="D18" s="1" t="s">
        <v>507</v>
      </c>
    </row>
    <row r="19" spans="2:6" x14ac:dyDescent="0.25">
      <c r="B19" s="1" t="s">
        <v>183</v>
      </c>
      <c r="D19" s="1" t="s">
        <v>184</v>
      </c>
    </row>
    <row r="20" spans="2:6" x14ac:dyDescent="0.25">
      <c r="B20" s="1" t="s">
        <v>185</v>
      </c>
    </row>
    <row r="21" spans="2:6" x14ac:dyDescent="0.25">
      <c r="B21" s="1" t="s">
        <v>186</v>
      </c>
    </row>
    <row r="23" spans="2:6" x14ac:dyDescent="0.25">
      <c r="B23" s="3" t="s">
        <v>187</v>
      </c>
      <c r="C23" s="5"/>
      <c r="D23" s="5"/>
      <c r="E23" s="5"/>
      <c r="F23" s="5"/>
    </row>
    <row r="24" spans="2:6" x14ac:dyDescent="0.25">
      <c r="B24" s="1" t="s">
        <v>47</v>
      </c>
      <c r="D24" s="1" t="s">
        <v>71</v>
      </c>
    </row>
    <row r="25" spans="2:6" x14ac:dyDescent="0.25">
      <c r="B25" s="1" t="s">
        <v>48</v>
      </c>
      <c r="D25" s="1" t="s">
        <v>167</v>
      </c>
    </row>
    <row r="26" spans="2:6" x14ac:dyDescent="0.25">
      <c r="B26" s="1" t="s">
        <v>49</v>
      </c>
      <c r="D26" s="1" t="s">
        <v>167</v>
      </c>
    </row>
    <row r="27" spans="2:6" x14ac:dyDescent="0.25">
      <c r="B27" s="1" t="s">
        <v>117</v>
      </c>
      <c r="D27" s="1" t="s">
        <v>169</v>
      </c>
    </row>
    <row r="29" spans="2:6" x14ac:dyDescent="0.25">
      <c r="B29" s="3" t="s">
        <v>508</v>
      </c>
      <c r="C29" s="3"/>
      <c r="D29" s="5"/>
      <c r="E29" s="5"/>
      <c r="F29" s="5"/>
    </row>
    <row r="30" spans="2:6" x14ac:dyDescent="0.25">
      <c r="B30" s="1" t="s">
        <v>510</v>
      </c>
    </row>
    <row r="31" spans="2:6" x14ac:dyDescent="0.25">
      <c r="B31" s="1" t="s">
        <v>512</v>
      </c>
    </row>
    <row r="33" spans="2:6" x14ac:dyDescent="0.25">
      <c r="B33" s="3" t="s">
        <v>509</v>
      </c>
      <c r="C33" s="3"/>
      <c r="D33" s="5"/>
      <c r="E33" s="5"/>
      <c r="F33" s="5"/>
    </row>
    <row r="34" spans="2:6" x14ac:dyDescent="0.25">
      <c r="B34" s="1" t="s">
        <v>560</v>
      </c>
    </row>
    <row r="35" spans="2:6" x14ac:dyDescent="0.25">
      <c r="B35" s="1" t="s">
        <v>519</v>
      </c>
    </row>
    <row r="36" spans="2:6" x14ac:dyDescent="0.25">
      <c r="B36" s="1" t="s">
        <v>520</v>
      </c>
    </row>
    <row r="37" spans="2:6" x14ac:dyDescent="0.25">
      <c r="B37" s="1" t="s">
        <v>521</v>
      </c>
    </row>
    <row r="38" spans="2:6" x14ac:dyDescent="0.25">
      <c r="B38" s="1" t="s">
        <v>561</v>
      </c>
    </row>
    <row r="40" spans="2:6" x14ac:dyDescent="0.25">
      <c r="B40" s="3" t="s">
        <v>523</v>
      </c>
      <c r="C40" s="3"/>
      <c r="D40" s="5"/>
      <c r="E40" s="5"/>
      <c r="F40" s="5"/>
    </row>
    <row r="41" spans="2:6" ht="27.6" x14ac:dyDescent="0.25">
      <c r="B41" s="384" t="s">
        <v>524</v>
      </c>
    </row>
    <row r="42" spans="2:6" ht="27.6" x14ac:dyDescent="0.25">
      <c r="B42" s="384" t="s">
        <v>525</v>
      </c>
    </row>
    <row r="43" spans="2:6" ht="27.6" x14ac:dyDescent="0.25">
      <c r="B43" s="384" t="s">
        <v>526</v>
      </c>
    </row>
    <row r="45" spans="2:6" x14ac:dyDescent="0.25">
      <c r="B45" s="3" t="s">
        <v>121</v>
      </c>
      <c r="C45" s="5"/>
      <c r="D45" s="5"/>
      <c r="E45" s="5"/>
      <c r="F45" s="5"/>
    </row>
    <row r="46" spans="2:6" x14ac:dyDescent="0.25">
      <c r="B46" s="12" t="s">
        <v>389</v>
      </c>
    </row>
    <row r="47" spans="2:6" x14ac:dyDescent="0.25">
      <c r="B47" s="12" t="s">
        <v>390</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375</v>
      </c>
      <c r="C2" s="132"/>
      <c r="E2" s="106" t="s">
        <v>20</v>
      </c>
    </row>
    <row r="4" spans="2:5" s="274" customFormat="1" x14ac:dyDescent="0.2">
      <c r="B4" s="274" t="s">
        <v>439</v>
      </c>
      <c r="C4" s="274" t="s">
        <v>376</v>
      </c>
    </row>
    <row r="5" spans="2:5" s="274" customFormat="1" x14ac:dyDescent="0.2">
      <c r="C5" s="275" t="s">
        <v>377</v>
      </c>
    </row>
    <row r="6" spans="2:5" s="274" customFormat="1" x14ac:dyDescent="0.2">
      <c r="B6" s="274" t="s">
        <v>409</v>
      </c>
      <c r="C6" s="274" t="s">
        <v>408</v>
      </c>
    </row>
    <row r="7" spans="2:5" s="274" customFormat="1" x14ac:dyDescent="0.2">
      <c r="C7" s="275" t="s">
        <v>407</v>
      </c>
    </row>
    <row r="8" spans="2:5" s="274" customFormat="1" x14ac:dyDescent="0.2">
      <c r="B8" s="274" t="s">
        <v>434</v>
      </c>
      <c r="C8" s="269" t="s">
        <v>435</v>
      </c>
    </row>
    <row r="9" spans="2:5" s="274" customFormat="1" x14ac:dyDescent="0.2">
      <c r="C9" s="275" t="s">
        <v>378</v>
      </c>
    </row>
    <row r="10" spans="2:5" s="274" customFormat="1" ht="22.95" customHeight="1" x14ac:dyDescent="0.2">
      <c r="B10" s="276" t="s">
        <v>379</v>
      </c>
      <c r="C10" s="269" t="s">
        <v>380</v>
      </c>
    </row>
    <row r="11" spans="2:5" s="274" customFormat="1" x14ac:dyDescent="0.2">
      <c r="B11" s="269"/>
      <c r="C11" s="275" t="s">
        <v>381</v>
      </c>
    </row>
    <row r="12" spans="2:5" s="274" customFormat="1" ht="22.8" x14ac:dyDescent="0.2">
      <c r="B12" s="277" t="s">
        <v>128</v>
      </c>
      <c r="C12" s="274" t="s">
        <v>382</v>
      </c>
    </row>
    <row r="13" spans="2:5" s="274" customFormat="1" x14ac:dyDescent="0.2">
      <c r="C13" s="275" t="s">
        <v>383</v>
      </c>
    </row>
    <row r="14" spans="2:5" s="274" customFormat="1" x14ac:dyDescent="0.2">
      <c r="B14" s="274" t="s">
        <v>436</v>
      </c>
      <c r="C14" s="274" t="s">
        <v>438</v>
      </c>
    </row>
    <row r="15" spans="2:5" s="274" customFormat="1" x14ac:dyDescent="0.2">
      <c r="C15" s="275" t="s">
        <v>437</v>
      </c>
    </row>
    <row r="16" spans="2:5" s="274" customFormat="1" x14ac:dyDescent="0.2">
      <c r="B16" s="277" t="s">
        <v>122</v>
      </c>
      <c r="C16" s="274" t="s">
        <v>384</v>
      </c>
    </row>
    <row r="17" spans="2:3" s="274" customFormat="1" ht="22.8" x14ac:dyDescent="0.2">
      <c r="C17" s="275" t="s">
        <v>385</v>
      </c>
    </row>
    <row r="18" spans="2:3" s="274" customFormat="1" x14ac:dyDescent="0.2">
      <c r="B18" s="274" t="s">
        <v>442</v>
      </c>
      <c r="C18" s="274" t="s">
        <v>441</v>
      </c>
    </row>
    <row r="19" spans="2:3" s="274" customFormat="1" x14ac:dyDescent="0.2">
      <c r="C19" s="275" t="s">
        <v>440</v>
      </c>
    </row>
    <row r="20" spans="2:3" s="274" customFormat="1" x14ac:dyDescent="0.2">
      <c r="B20" s="274" t="s">
        <v>386</v>
      </c>
      <c r="C20" s="274" t="s">
        <v>387</v>
      </c>
    </row>
    <row r="21" spans="2:3" s="274" customFormat="1" x14ac:dyDescent="0.2">
      <c r="C21" s="275" t="s">
        <v>388</v>
      </c>
    </row>
    <row r="22" spans="2:3" s="274" customFormat="1" x14ac:dyDescent="0.2">
      <c r="B22" s="274" t="s">
        <v>414</v>
      </c>
      <c r="C22" s="274" t="s">
        <v>415</v>
      </c>
    </row>
    <row r="23" spans="2:3" s="274" customFormat="1" x14ac:dyDescent="0.2">
      <c r="C23" s="275" t="s">
        <v>413</v>
      </c>
    </row>
    <row r="24" spans="2:3" s="274" customFormat="1" x14ac:dyDescent="0.2">
      <c r="B24" s="274" t="s">
        <v>404</v>
      </c>
      <c r="C24" s="274" t="s">
        <v>393</v>
      </c>
    </row>
    <row r="25" spans="2:3" s="274" customFormat="1" ht="22.8" x14ac:dyDescent="0.2">
      <c r="C25" s="275" t="s">
        <v>391</v>
      </c>
    </row>
    <row r="26" spans="2:3" s="274" customFormat="1" x14ac:dyDescent="0.2">
      <c r="B26" s="274" t="s">
        <v>405</v>
      </c>
      <c r="C26" s="274" t="s">
        <v>406</v>
      </c>
    </row>
    <row r="27" spans="2:3" s="274" customFormat="1" x14ac:dyDescent="0.2">
      <c r="C27" s="275" t="s">
        <v>609</v>
      </c>
    </row>
    <row r="28" spans="2:3" s="274"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2.xml><?xml version="1.0" encoding="utf-8"?>
<ds:datastoreItem xmlns:ds="http://schemas.openxmlformats.org/officeDocument/2006/customXml" ds:itemID="{651615EB-DE44-4BF4-BD1E-846AB7A3DA36}">
  <ds:schemaRefs>
    <ds:schemaRef ds:uri="http://schemas.microsoft.com/office/2006/metadata/properties"/>
    <ds:schemaRef ds:uri="http://purl.org/dc/terms/"/>
    <ds:schemaRef ds:uri="6998d7be-1ad0-4716-9c60-ba76cfe9b1f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5e4dc333-02c0-4d6f-a03d-d04a548a7be7"/>
    <ds:schemaRef ds:uri="http://www.w3.org/XML/1998/namespace"/>
    <ds:schemaRef ds:uri="http://purl.org/dc/dcmitype/"/>
  </ds:schemaRefs>
</ds:datastoreItem>
</file>

<file path=customXml/itemProps3.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164</vt:i4>
      </vt:variant>
    </vt:vector>
  </HeadingPairs>
  <TitlesOfParts>
    <vt:vector size="179"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Fahrzeugklasse1</vt:lpstr>
      <vt:lpstr>Fahrzeugklasse2</vt:lpstr>
      <vt:lpstr>Fahrzeugklasse3</vt:lpstr>
      <vt:lpstr>Fahrzeugklasse4</vt:lpstr>
      <vt:lpstr>Fahrzeugklasse5</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Laderaum</vt:lpstr>
      <vt:lpstr>LeasSondZahl1</vt:lpstr>
      <vt:lpstr>LeasSondZahl2</vt:lpstr>
      <vt:lpstr>LeasSondZahl3</vt:lpstr>
      <vt:lpstr>LeasSondZahl4</vt:lpstr>
      <vt:lpstr>LeasSondZahl5</vt:lpstr>
      <vt:lpstr>max_Verbrauch_PHEV_kWh</vt:lpstr>
      <vt:lpstr>max_Verbrauch_PHEV_l</vt:lpstr>
      <vt:lpstr>max_Verbrauch_Verbrenner</vt:lpstr>
      <vt:lpstr>maxCO2_1000kg</vt:lpstr>
      <vt:lpstr>maxCO2_1300kg</vt:lpstr>
      <vt:lpstr>maxCO2_700kg</vt:lpstr>
      <vt:lpstr>maxCO2_größer1300kg</vt:lpstr>
      <vt:lpstr>maxCO2_Laderaum</vt:lpstr>
      <vt:lpstr>maxCO2PHEV</vt:lpstr>
      <vt:lpstr>maxkWh_1000kg</vt:lpstr>
      <vt:lpstr>maxkWh_700kg</vt:lpstr>
      <vt:lpstr>maxkWh_größer1000kg</vt:lpstr>
      <vt:lpstr>maxkWh_Laderaum</vt:lpstr>
      <vt:lpstr>maxNOX_N1I</vt:lpstr>
      <vt:lpstr>maxNOX_N1II</vt:lpstr>
      <vt:lpstr>maxNOX_N1III</vt:lpstr>
      <vt:lpstr>maxPM</vt:lpstr>
      <vt:lpstr>minReichwPHEV</vt:lpstr>
      <vt:lpstr>Modell1</vt:lpstr>
      <vt:lpstr>Modell2</vt:lpstr>
      <vt:lpstr>Modell3</vt:lpstr>
      <vt:lpstr>Modell4</vt:lpstr>
      <vt:lpstr>Modell5</vt:lpstr>
      <vt:lpstr>N1I</vt:lpstr>
      <vt:lpstr>N1II</vt:lpstr>
      <vt:lpstr>N1III</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Zuladung</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2025-02-05T11:56:06Z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