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mc:AlternateContent xmlns:mc="http://schemas.openxmlformats.org/markup-compatibility/2006">
    <mc:Choice Requires="x15">
      <x15ac:absPath xmlns:x15ac="http://schemas.microsoft.com/office/spreadsheetml/2010/11/ac" url="C:\Users\Julia Pelzeter\Downloads\"/>
    </mc:Choice>
  </mc:AlternateContent>
  <xr:revisionPtr revIDLastSave="0" documentId="13_ncr:1_{4D5DEDC0-D0CE-4B46-BE5A-E7EE7A6ABC2B}" xr6:coauthVersionLast="36" xr6:coauthVersionMax="47" xr10:uidLastSave="{00000000-0000-0000-0000-000000000000}"/>
  <bookViews>
    <workbookView xWindow="0" yWindow="0" windowWidth="23040" windowHeight="11124" tabRatio="887" activeTab="2" xr2:uid="{00000000-000D-0000-FFFF-FFFF00000000}"/>
  </bookViews>
  <sheets>
    <sheet name="Anleitung" sheetId="27" r:id="rId1"/>
    <sheet name="Input_Projekt" sheetId="12" r:id="rId2"/>
    <sheet name="Eingabe_Angebotswerte" sheetId="19" r:id="rId3"/>
    <sheet name="Ergebnisse_LZK" sheetId="5" r:id="rId4"/>
    <sheet name="Ergebnisse_Umweltkosten" sheetId="23" r:id="rId5"/>
    <sheet name="Grunddaten" sheetId="24" r:id="rId6"/>
    <sheet name="Erg.Pkw_1" sheetId="11" r:id="rId7"/>
    <sheet name="Erg.Pkw_2" sheetId="10" r:id="rId8"/>
    <sheet name="Erg.Pkw_3" sheetId="9" r:id="rId9"/>
    <sheet name="Erg.Pkw_4" sheetId="8" r:id="rId10"/>
    <sheet name="Erg.Pkw_5" sheetId="7" r:id="rId11"/>
    <sheet name="Emissionsfaktoren" sheetId="18" r:id="rId12"/>
    <sheet name="Listen" sheetId="17" state="hidden" r:id="rId13"/>
    <sheet name="Doku" sheetId="26" r:id="rId14"/>
    <sheet name="Quellen" sheetId="22" r:id="rId15"/>
  </sheets>
  <definedNames>
    <definedName name="Anbieter1">Eingabe_Angebotswerte!$E$9</definedName>
    <definedName name="Anbieter2">Eingabe_Angebotswerte!$F$9</definedName>
    <definedName name="Anbieter3">Eingabe_Angebotswerte!$G$9</definedName>
    <definedName name="Anbieter4">Eingabe_Angebotswerte!$H$9</definedName>
    <definedName name="Anbieter5">Eingabe_Angebotswerte!$I$9</definedName>
    <definedName name="AntrArtList">Listen!$B$8:$B$10</definedName>
    <definedName name="Antriebsart1">Eingabe_Angebotswerte!$E$7</definedName>
    <definedName name="Antriebsart2">Eingabe_Angebotswerte!$F$7</definedName>
    <definedName name="Antriebsart3">Eingabe_Angebotswerte!$G$7</definedName>
    <definedName name="Antriebsart4">Eingabe_Angebotswerte!$H$7</definedName>
    <definedName name="Antriebsart5">Eingabe_Angebotswerte!$I$7</definedName>
    <definedName name="Batterie_THG">Grunddaten!$G$42</definedName>
    <definedName name="Batterie1">Eingabe_Angebotswerte!$E$21</definedName>
    <definedName name="Batterie2">Eingabe_Angebotswerte!$F$21</definedName>
    <definedName name="Batterie3">Eingabe_Angebotswerte!$G$21</definedName>
    <definedName name="Batterie4">Eingabe_Angebotswerte!$H$21</definedName>
    <definedName name="Batterie5">Eingabe_Angebotswerte!$I$21</definedName>
    <definedName name="CO2_1">Eingabe_Angebotswerte!$E$17</definedName>
    <definedName name="CO2_2">Eingabe_Angebotswerte!$F$17</definedName>
    <definedName name="CO2_3">Eingabe_Angebotswerte!$G$17</definedName>
    <definedName name="CO2_4">Eingabe_Angebotswerte!$H$17</definedName>
    <definedName name="CO2_5">Eingabe_Angebotswerte!$I$17</definedName>
    <definedName name="CO2List">Emissionsfaktoren!$B$26:$D$29</definedName>
    <definedName name="Datum">Input_Projekt!$C$11</definedName>
    <definedName name="_xlnm.Print_Area" localSheetId="13">Doku!$B$2:$P$41</definedName>
    <definedName name="_xlnm.Print_Area" localSheetId="6">Erg.Pkw_1!$A$2:$D$63</definedName>
    <definedName name="_xlnm.Print_Area" localSheetId="7">Erg.Pkw_2!$A$2:$D$63</definedName>
    <definedName name="_xlnm.Print_Area" localSheetId="3">Ergebnisse_LZK!$B$2:$H$32</definedName>
    <definedName name="_xlnm.Print_Area" localSheetId="4">Ergebnisse_Umweltkosten!$B$2:$H$30</definedName>
    <definedName name="_xlnm.Print_Area" localSheetId="14">Quellen!$B$2:$C$32</definedName>
    <definedName name="EnEinheitList">Listen!$B$20:$D$23</definedName>
    <definedName name="Energie1">Eingabe_Angebotswerte!$E$8</definedName>
    <definedName name="Energie2">Eingabe_Angebotswerte!$F$8</definedName>
    <definedName name="Energie3">Eingabe_Angebotswerte!$G$8</definedName>
    <definedName name="Energie4">Eingabe_Angebotswerte!$H$8</definedName>
    <definedName name="Energie5">Eingabe_Angebotswerte!$I$8</definedName>
    <definedName name="EnKostList">Grunddaten!$B$24:$G$29</definedName>
    <definedName name="EnList1">Erg.Pkw_1!$F$5:$F$8</definedName>
    <definedName name="EnList2">Erg.Pkw_2!$F$5:$F$8</definedName>
    <definedName name="EnList3">Erg.Pkw_3!$F$5:$F$8</definedName>
    <definedName name="EnList4">Erg.Pkw_4!$F$5:$F$8</definedName>
    <definedName name="EnList5">Erg.Pkw_5!$F$5:$F$8</definedName>
    <definedName name="EnUmrechList">Emissionsfaktoren!$B$16:$E$18</definedName>
    <definedName name="Fahrleistung">Input_Projekt!$C$15</definedName>
    <definedName name="FinArt">Input_Projekt!$C$17</definedName>
    <definedName name="FinArtList">Listen!$B$3:$D$5</definedName>
    <definedName name="Gesamtpreis1">Eingabe_Angebotswerte!$E$13</definedName>
    <definedName name="Gesamtpreis2">Eingabe_Angebotswerte!$F$13</definedName>
    <definedName name="Gesamtpreis3">Eingabe_Angebotswerte!$G$13</definedName>
    <definedName name="Gesamtpreis4">Eingabe_Angebotswerte!$H$13</definedName>
    <definedName name="Gesamtpreis5">Eingabe_Angebotswerte!$I$13</definedName>
    <definedName name="Haltedauer">Input_Projekt!$C$19</definedName>
    <definedName name="Hersteller1">Eingabe_Angebotswerte!$E$10</definedName>
    <definedName name="Hersteller2">Eingabe_Angebotswerte!$F$10</definedName>
    <definedName name="Hersteller3">Eingabe_Angebotswerte!$G$10</definedName>
    <definedName name="Hersteller4">Eingabe_Angebotswerte!$H$10</definedName>
    <definedName name="Hersteller5">Eingabe_Angebotswerte!$I$10</definedName>
    <definedName name="KaufpreisRech">Input_Projekt!$C$21</definedName>
    <definedName name="KaufpreisRechList">Listen!$B$26:$B$27</definedName>
    <definedName name="Kost_NOX">Grunddaten!$G$37</definedName>
    <definedName name="Kost_Partikel">Grunddaten!$G$38</definedName>
    <definedName name="Kost_THG">Grunddaten!$G$35</definedName>
    <definedName name="KostTHGList">Listen!$B$34:$B$35</definedName>
    <definedName name="KostTHGVorgabe">Input_Projekt!$C$24</definedName>
    <definedName name="LeasSondZahl1">Eingabe_Angebotswerte!$E$14</definedName>
    <definedName name="LeasSondZahl2">Eingabe_Angebotswerte!$F$14</definedName>
    <definedName name="LeasSondZahl3">Eingabe_Angebotswerte!$G$14</definedName>
    <definedName name="LeasSondZahl4">Eingabe_Angebotswerte!$H$14</definedName>
    <definedName name="LeasSondZahl5">Eingabe_Angebotswerte!$I$14</definedName>
    <definedName name="maxCO2">Grunddaten!$G$7</definedName>
    <definedName name="maxCO2PHEV">Grunddaten!$G$9</definedName>
    <definedName name="maxCO2Van">Grunddaten!$G$8</definedName>
    <definedName name="maxkWh">Grunddaten!$G$12</definedName>
    <definedName name="maxkWhVan">Grunddaten!$G$13</definedName>
    <definedName name="maxNOX">Grunddaten!$G$10</definedName>
    <definedName name="maxPM">Grunddaten!$G$11</definedName>
    <definedName name="minReichwPHEV">Grunddaten!$G$14</definedName>
    <definedName name="Modell1">Eingabe_Angebotswerte!$E$11</definedName>
    <definedName name="Modell2">Eingabe_Angebotswerte!$F$11</definedName>
    <definedName name="Modell3">Eingabe_Angebotswerte!$G$11</definedName>
    <definedName name="Modell4">Eingabe_Angebotswerte!$H$11</definedName>
    <definedName name="Modell5">Eingabe_Angebotswerte!$I$11</definedName>
    <definedName name="NOX_1">Eingabe_Angebotswerte!$E$18</definedName>
    <definedName name="NOX_2">Eingabe_Angebotswerte!$F$18</definedName>
    <definedName name="NOX_3">Eingabe_Angebotswerte!$G$18</definedName>
    <definedName name="NOX_4">Eingabe_Angebotswerte!$H$18</definedName>
    <definedName name="NOX_5">Eingabe_Angebotswerte!$I$18</definedName>
    <definedName name="Partikel1">Eingabe_Angebotswerte!$E$19</definedName>
    <definedName name="Partikel2">Eingabe_Angebotswerte!$F$19</definedName>
    <definedName name="Partikel3">Eingabe_Angebotswerte!$G$19</definedName>
    <definedName name="Partikel4">Eingabe_Angebotswerte!$H$19</definedName>
    <definedName name="Partikel5">Eingabe_Angebotswerte!$I$19</definedName>
    <definedName name="Projektname_Z1">Input_Projekt!$C$6</definedName>
    <definedName name="Projektname_Z2">Input_Projekt!$C$7</definedName>
    <definedName name="Projektname_Z3">Input_Projekt!$C$8</definedName>
    <definedName name="ReichwPHEV1">Eingabe_Angebotswerte!$E$20</definedName>
    <definedName name="ReichwPHEV2">Eingabe_Angebotswerte!$F$20</definedName>
    <definedName name="ReichwPHEV3">Eingabe_Angebotswerte!$G$20</definedName>
    <definedName name="ReichwPHEV4">Eingabe_Angebotswerte!$H$20</definedName>
    <definedName name="ReichwPHEV5">Eingabe_Angebotswerte!$I$20</definedName>
    <definedName name="Segment">Input_Projekt!$C$13</definedName>
    <definedName name="SegmentList">Listen!$B$30:$B$31</definedName>
    <definedName name="Unternehmen">Input_Projekt!$C$9</definedName>
    <definedName name="VerbEl_WLTP1">Eingabe_Angebotswerte!$E$16</definedName>
    <definedName name="VerbEl_WLTP2">Eingabe_Angebotswerte!$F$16</definedName>
    <definedName name="VerbEl_WLTP3">Eingabe_Angebotswerte!$G$16</definedName>
    <definedName name="VerbEl_WLTP4">Eingabe_Angebotswerte!$H$16</definedName>
    <definedName name="VerbEl_WLTP5">Eingabe_Angebotswerte!$I$16</definedName>
    <definedName name="VerbElPHEV1">Erg.Pkw_1!$C$23</definedName>
    <definedName name="VerbElPHEV2">Erg.Pkw_2!$C$23</definedName>
    <definedName name="VerbElPHEV3">Erg.Pkw_3!$C$23</definedName>
    <definedName name="VerbElPHEV4">Erg.Pkw_4!$C$23</definedName>
    <definedName name="VerbElPHEV5">Erg.Pkw_5!$C$23</definedName>
    <definedName name="VerbPHEV1">Erg.Pkw_1!$C$22</definedName>
    <definedName name="VerbPHEV2">Erg.Pkw_2!$C$22</definedName>
    <definedName name="VerbPHEV3">Erg.Pkw_3!$C$22</definedName>
    <definedName name="VerbPHEV4">Erg.Pkw_4!$C$22</definedName>
    <definedName name="VerbPHEV5">Erg.Pkw_5!$C$22</definedName>
    <definedName name="Verbrauch1">Eingabe_Angebotswerte!$E$15</definedName>
    <definedName name="Verbrauch2">Eingabe_Angebotswerte!$F$15</definedName>
    <definedName name="Verbrauch3">Eingabe_Angebotswerte!$G$15</definedName>
    <definedName name="Verbrauch4">Eingabe_Angebotswerte!$H$15</definedName>
    <definedName name="Verbrauch5">Eingabe_Angebotswerte!$I$15</definedName>
    <definedName name="Zusatzinfo1">Eingabe_Angebotswerte!$E$12</definedName>
    <definedName name="Zusatzinfo2">Eingabe_Angebotswerte!$F$12</definedName>
    <definedName name="Zusatzinfo3">Eingabe_Angebotswerte!$G$12</definedName>
    <definedName name="Zusatzinfo4">Eingabe_Angebotswerte!$H$12</definedName>
    <definedName name="Zusatzinfo5">Eingabe_Angebotswerte!$I$12</definedName>
    <definedName name="Zustaendig">Input_Projekt!$C$10</definedName>
  </definedNames>
  <calcPr calcId="191028"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1" l="1"/>
  <c r="C35" i="11"/>
  <c r="C13" i="19" l="1"/>
  <c r="D13" i="19"/>
  <c r="F24" i="12" l="1"/>
  <c r="G42" i="24" l="1"/>
  <c r="F23" i="19" l="1"/>
  <c r="G23" i="19"/>
  <c r="H23" i="19"/>
  <c r="I23" i="19"/>
  <c r="E23" i="19"/>
  <c r="C33" i="9"/>
  <c r="C14" i="7" l="1"/>
  <c r="C13" i="7"/>
  <c r="C12" i="7"/>
  <c r="C11" i="7"/>
  <c r="C10" i="7"/>
  <c r="C7" i="7"/>
  <c r="C14" i="8"/>
  <c r="C13" i="8"/>
  <c r="C12" i="8"/>
  <c r="C11" i="8"/>
  <c r="C10" i="8"/>
  <c r="C7" i="8"/>
  <c r="C14" i="10"/>
  <c r="C13" i="10"/>
  <c r="C12" i="10"/>
  <c r="C11" i="10"/>
  <c r="C10" i="10"/>
  <c r="C7" i="10"/>
  <c r="C14" i="11"/>
  <c r="C13" i="11"/>
  <c r="C12" i="11"/>
  <c r="C11" i="11"/>
  <c r="C10" i="11"/>
  <c r="C7" i="11"/>
  <c r="C14" i="9"/>
  <c r="C13" i="9"/>
  <c r="C12" i="9"/>
  <c r="C11" i="9"/>
  <c r="C10" i="9"/>
  <c r="C7" i="9"/>
  <c r="J23" i="19" l="1"/>
  <c r="G38" i="24"/>
  <c r="G37" i="24"/>
  <c r="D35" i="24"/>
  <c r="G35" i="24" s="1"/>
  <c r="G29" i="24"/>
  <c r="G28" i="24"/>
  <c r="G27" i="24"/>
  <c r="G25" i="24"/>
  <c r="G24" i="24"/>
  <c r="C35" i="7" l="1"/>
  <c r="C35" i="8"/>
  <c r="C35" i="9"/>
  <c r="C35" i="10"/>
  <c r="C36" i="7"/>
  <c r="C36" i="8"/>
  <c r="C36" i="9"/>
  <c r="C36" i="10"/>
  <c r="C21" i="11"/>
  <c r="C18" i="11"/>
  <c r="C21" i="10"/>
  <c r="C18" i="10"/>
  <c r="C21" i="9"/>
  <c r="C18" i="9"/>
  <c r="C21" i="8"/>
  <c r="C18" i="8"/>
  <c r="C18" i="7"/>
  <c r="C19" i="7" s="1"/>
  <c r="C21" i="7"/>
  <c r="C32" i="9"/>
  <c r="C22" i="7" l="1"/>
  <c r="C19" i="10"/>
  <c r="C22" i="10" s="1"/>
  <c r="C33" i="10" s="1"/>
  <c r="C20" i="10"/>
  <c r="C23" i="10" s="1"/>
  <c r="C20" i="8"/>
  <c r="C23" i="8" s="1"/>
  <c r="C19" i="8"/>
  <c r="C22" i="8" s="1"/>
  <c r="C20" i="9"/>
  <c r="C23" i="9" s="1"/>
  <c r="C19" i="9"/>
  <c r="C22" i="9" s="1"/>
  <c r="C20" i="11"/>
  <c r="C23" i="11" s="1"/>
  <c r="C19" i="11"/>
  <c r="C22" i="11" s="1"/>
  <c r="C33" i="11" s="1"/>
  <c r="C20" i="7"/>
  <c r="C23" i="7" s="1"/>
  <c r="C39" i="7"/>
  <c r="C28" i="11" l="1"/>
  <c r="C28" i="10"/>
  <c r="C28" i="8"/>
  <c r="C28" i="7"/>
  <c r="C28" i="9"/>
  <c r="G8" i="24" l="1"/>
  <c r="F5" i="11" l="1"/>
  <c r="F6" i="11"/>
  <c r="F7" i="11"/>
  <c r="F8" i="11"/>
  <c r="C55" i="7"/>
  <c r="C55" i="8"/>
  <c r="C55" i="9"/>
  <c r="C55" i="10"/>
  <c r="C55" i="11"/>
  <c r="G14" i="24"/>
  <c r="C32" i="7"/>
  <c r="C39" i="8"/>
  <c r="C32" i="8"/>
  <c r="C39" i="9"/>
  <c r="C39" i="10"/>
  <c r="C32" i="10"/>
  <c r="C39" i="11"/>
  <c r="C32" i="11"/>
  <c r="G9" i="24"/>
  <c r="G10" i="24"/>
  <c r="G11" i="24"/>
  <c r="G12" i="24"/>
  <c r="G13" i="24"/>
  <c r="G7" i="24"/>
  <c r="B19" i="5"/>
  <c r="C54" i="7"/>
  <c r="C54" i="8"/>
  <c r="C54" i="10"/>
  <c r="C54" i="9"/>
  <c r="C54" i="11"/>
  <c r="B51" i="7"/>
  <c r="B51" i="8"/>
  <c r="B51" i="9"/>
  <c r="B51" i="10"/>
  <c r="B51" i="11"/>
  <c r="K28" i="18"/>
  <c r="L28" i="18"/>
  <c r="M28" i="18"/>
  <c r="N28" i="18"/>
  <c r="O28" i="18"/>
  <c r="P28" i="18"/>
  <c r="Q28" i="18"/>
  <c r="R28" i="18"/>
  <c r="S28" i="18"/>
  <c r="T28" i="18"/>
  <c r="U28" i="18"/>
  <c r="V28" i="18"/>
  <c r="W28" i="18"/>
  <c r="X28" i="18"/>
  <c r="Y28" i="18"/>
  <c r="Z28" i="18"/>
  <c r="AA28" i="18"/>
  <c r="AB28" i="18"/>
  <c r="AC28" i="18"/>
  <c r="AD28" i="18"/>
  <c r="AE28" i="18"/>
  <c r="J28" i="18"/>
  <c r="D26" i="18" s="1"/>
  <c r="C46" i="7"/>
  <c r="C47" i="7" s="1"/>
  <c r="C46" i="8"/>
  <c r="C47" i="8" s="1"/>
  <c r="C46" i="9"/>
  <c r="C46" i="10"/>
  <c r="C46" i="11"/>
  <c r="H18" i="5"/>
  <c r="G18" i="5"/>
  <c r="F18" i="5"/>
  <c r="E18" i="5"/>
  <c r="D18" i="5"/>
  <c r="F13" i="23"/>
  <c r="F12" i="23"/>
  <c r="C11" i="23"/>
  <c r="C10" i="23"/>
  <c r="C9" i="23"/>
  <c r="C8" i="23"/>
  <c r="C7" i="23"/>
  <c r="C6" i="23"/>
  <c r="C27" i="18"/>
  <c r="D27" i="18"/>
  <c r="C28" i="18"/>
  <c r="C29" i="18"/>
  <c r="D29" i="18"/>
  <c r="D28" i="18"/>
  <c r="F8" i="7"/>
  <c r="F8" i="8"/>
  <c r="F8" i="9"/>
  <c r="F8" i="10"/>
  <c r="F7" i="7"/>
  <c r="F6" i="7"/>
  <c r="F5" i="7"/>
  <c r="F7" i="8"/>
  <c r="F6" i="8"/>
  <c r="F5" i="8"/>
  <c r="F7" i="9"/>
  <c r="F6" i="9"/>
  <c r="F5" i="9"/>
  <c r="F7" i="10"/>
  <c r="F6" i="10"/>
  <c r="F5" i="10"/>
  <c r="C11" i="5"/>
  <c r="C10" i="5"/>
  <c r="C9" i="5"/>
  <c r="C8" i="5"/>
  <c r="C7" i="5"/>
  <c r="C6" i="5"/>
  <c r="F13" i="5"/>
  <c r="F12" i="5"/>
  <c r="J29" i="12"/>
  <c r="G26" i="24" s="1"/>
  <c r="C47" i="11" l="1"/>
  <c r="C47" i="9"/>
  <c r="C62" i="8"/>
  <c r="C48" i="8"/>
  <c r="C62" i="7"/>
  <c r="C48" i="7"/>
  <c r="C40" i="10"/>
  <c r="C47" i="10"/>
  <c r="D19" i="5"/>
  <c r="C29" i="8"/>
  <c r="C30" i="8" s="1"/>
  <c r="C56" i="8" s="1"/>
  <c r="G20" i="5" s="1"/>
  <c r="C29" i="9"/>
  <c r="C30" i="9" s="1"/>
  <c r="C56" i="9" s="1"/>
  <c r="F20" i="5" s="1"/>
  <c r="C29" i="11"/>
  <c r="C30" i="11" s="1"/>
  <c r="C56" i="11" s="1"/>
  <c r="D20" i="5" s="1"/>
  <c r="C29" i="10"/>
  <c r="C30" i="10" s="1"/>
  <c r="C56" i="10" s="1"/>
  <c r="E20" i="5" s="1"/>
  <c r="C29" i="7"/>
  <c r="C30" i="7" s="1"/>
  <c r="C56" i="7" s="1"/>
  <c r="H20" i="5" s="1"/>
  <c r="C33" i="8"/>
  <c r="C34" i="8" s="1"/>
  <c r="C37" i="8" s="1"/>
  <c r="C57" i="8" s="1"/>
  <c r="C33" i="7"/>
  <c r="C34" i="7" s="1"/>
  <c r="C37" i="7" s="1"/>
  <c r="C57" i="7" s="1"/>
  <c r="H21" i="5" s="1"/>
  <c r="H22" i="19"/>
  <c r="I22" i="19"/>
  <c r="G19" i="5"/>
  <c r="E22" i="19"/>
  <c r="F22" i="19"/>
  <c r="G22" i="19"/>
  <c r="C40" i="7"/>
  <c r="C40" i="11"/>
  <c r="C40" i="9"/>
  <c r="C63" i="9" s="1"/>
  <c r="F26" i="23" s="1"/>
  <c r="C40" i="8"/>
  <c r="F19" i="5"/>
  <c r="E17" i="23"/>
  <c r="E17" i="5"/>
  <c r="F17" i="5"/>
  <c r="G19" i="23"/>
  <c r="D17" i="23"/>
  <c r="F17" i="23"/>
  <c r="D19" i="23"/>
  <c r="G17" i="23"/>
  <c r="H17" i="5"/>
  <c r="D17" i="5"/>
  <c r="C30" i="12"/>
  <c r="H19" i="23"/>
  <c r="E19" i="23"/>
  <c r="G17" i="5"/>
  <c r="G25" i="23"/>
  <c r="G27" i="5"/>
  <c r="C59" i="8"/>
  <c r="G23" i="5" s="1"/>
  <c r="H27" i="5"/>
  <c r="H25" i="23"/>
  <c r="H17" i="23"/>
  <c r="H19" i="5"/>
  <c r="E19" i="5"/>
  <c r="C41" i="10"/>
  <c r="C58" i="10" s="1"/>
  <c r="C34" i="11"/>
  <c r="C37" i="11" s="1"/>
  <c r="C57" i="11" s="1"/>
  <c r="C34" i="9"/>
  <c r="C37" i="9" s="1"/>
  <c r="C57" i="9" s="1"/>
  <c r="F21" i="5" s="1"/>
  <c r="C59" i="7"/>
  <c r="H23" i="5" s="1"/>
  <c r="F19" i="23"/>
  <c r="C63" i="10"/>
  <c r="E26" i="23" s="1"/>
  <c r="C34" i="10"/>
  <c r="C37" i="10" s="1"/>
  <c r="C57" i="10" s="1"/>
  <c r="C62" i="9" l="1"/>
  <c r="C48" i="9"/>
  <c r="C59" i="9" s="1"/>
  <c r="F23" i="5" s="1"/>
  <c r="C62" i="11"/>
  <c r="C48" i="11"/>
  <c r="C59" i="11" s="1"/>
  <c r="D23" i="5" s="1"/>
  <c r="C62" i="10"/>
  <c r="C48" i="10"/>
  <c r="C59" i="10" s="1"/>
  <c r="E23" i="5" s="1"/>
  <c r="C63" i="8"/>
  <c r="G28" i="5" s="1"/>
  <c r="J22" i="19"/>
  <c r="F28" i="5"/>
  <c r="C41" i="9"/>
  <c r="F20" i="23" s="1"/>
  <c r="G18" i="23"/>
  <c r="C41" i="8"/>
  <c r="D18" i="23"/>
  <c r="G21" i="23"/>
  <c r="E21" i="23"/>
  <c r="G21" i="5"/>
  <c r="F21" i="23"/>
  <c r="H18" i="23"/>
  <c r="F18" i="23"/>
  <c r="E20" i="23"/>
  <c r="E22" i="5"/>
  <c r="H21" i="23"/>
  <c r="D21" i="23"/>
  <c r="E28" i="5"/>
  <c r="D21" i="5"/>
  <c r="E18" i="23"/>
  <c r="E21" i="5"/>
  <c r="C60" i="10"/>
  <c r="C41" i="7"/>
  <c r="H22" i="5" s="1"/>
  <c r="H26" i="5" s="1"/>
  <c r="C63" i="7"/>
  <c r="C63" i="11"/>
  <c r="C41" i="11"/>
  <c r="D22" i="5" s="1"/>
  <c r="D27" i="5" l="1"/>
  <c r="D25" i="23"/>
  <c r="F27" i="5"/>
  <c r="F25" i="23"/>
  <c r="E25" i="23"/>
  <c r="E27" i="5"/>
  <c r="G26" i="23"/>
  <c r="L8" i="19"/>
  <c r="L18" i="19"/>
  <c r="F24" i="23"/>
  <c r="E24" i="23"/>
  <c r="E26" i="5"/>
  <c r="C58" i="8"/>
  <c r="C60" i="8" s="1"/>
  <c r="G22" i="5"/>
  <c r="G26" i="5" s="1"/>
  <c r="F22" i="23"/>
  <c r="E22" i="23"/>
  <c r="E24" i="5"/>
  <c r="F22" i="5"/>
  <c r="F26" i="5" s="1"/>
  <c r="C58" i="9"/>
  <c r="C60" i="9" s="1"/>
  <c r="G20" i="23"/>
  <c r="G24" i="23" s="1"/>
  <c r="D28" i="5"/>
  <c r="D26" i="23"/>
  <c r="H26" i="23"/>
  <c r="H28" i="5"/>
  <c r="C58" i="11"/>
  <c r="C60" i="11" s="1"/>
  <c r="D26" i="5"/>
  <c r="D20" i="23"/>
  <c r="D24" i="23" s="1"/>
  <c r="H20" i="23"/>
  <c r="H22" i="23" s="1"/>
  <c r="C58" i="7"/>
  <c r="C60" i="7" s="1"/>
  <c r="H24" i="5"/>
  <c r="H24" i="23" l="1"/>
  <c r="I24" i="23" s="1"/>
  <c r="D2" i="23" s="1"/>
  <c r="I26" i="5"/>
  <c r="D2" i="5" s="1"/>
  <c r="G22" i="23"/>
  <c r="D22" i="23"/>
  <c r="G24" i="5"/>
  <c r="F24" i="5"/>
  <c r="D24" i="5"/>
  <c r="H23" i="23" l="1"/>
  <c r="G30" i="23" s="1"/>
  <c r="F23" i="23"/>
  <c r="D30" i="23" s="1"/>
  <c r="G23" i="23"/>
  <c r="F30" i="23" s="1"/>
  <c r="E23" i="23"/>
  <c r="C30" i="23" s="1"/>
  <c r="D23" i="23"/>
  <c r="B30" i="23" s="1"/>
  <c r="E25" i="5"/>
  <c r="G25" i="5"/>
  <c r="F32" i="5" s="1"/>
  <c r="D25" i="5"/>
  <c r="F25" i="5"/>
  <c r="D32" i="5" s="1"/>
  <c r="H25" i="5"/>
  <c r="C32" i="5" l="1"/>
  <c r="B32" i="5"/>
  <c r="G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B43" authorId="0" shapeId="0" xr:uid="{00000000-0006-0000-0000-000001000000}">
      <text>
        <r>
          <rPr>
            <sz val="9"/>
            <color indexed="81"/>
            <rFont val="Segoe UI"/>
            <family val="2"/>
          </rPr>
          <t>Dies ist ein Beispielkommentar.
In dieser Art werden einzelne Zellen erklärt oder auch Quellenangaben gemacht.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A22" authorId="0" shapeId="0" xr:uid="{00000000-0006-0000-0A00-000001000000}">
      <text>
        <r>
          <rPr>
            <sz val="9"/>
            <color indexed="81"/>
            <rFont val="Segoe UI"/>
            <family val="2"/>
          </rPr>
          <t>Quellen zur Berechnung:
T&amp;E (2022), Plötz und Jöhrens (2021)</t>
        </r>
      </text>
    </comment>
    <comment ref="A46" authorId="0" shapeId="0" xr:uid="{DD9765C6-F085-4665-BCD0-CFECF72BF841}">
      <text>
        <r>
          <rPr>
            <sz val="9"/>
            <color indexed="81"/>
            <rFont val="Segoe UI"/>
            <family val="2"/>
          </rPr>
          <t>Quelle: Biemann et al. (2023)
In der Quelle werden die THG-Emissionen der Batterieproduktion über 16 Jahre bzw. 220.000 km abgeschrieben.
Die hier hinterlegte Formel bewirkt, dass die Batterie auf weniger km (16 Jahre x angegebene Jahres-km) abgeschrieben wird, wenn die Jahresfahrleistung unter 13.750 km liegt und somit nach 16 Jahren keine 220.000 km Gesamtfahrleistung erreicht werden können.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Berhard Bruch</author>
  </authors>
  <commentList>
    <comment ref="A26" authorId="0" shapeId="0" xr:uid="{00000000-0006-0000-0B00-000001000000}">
      <text>
        <r>
          <rPr>
            <sz val="9"/>
            <color indexed="81"/>
            <rFont val="Segoe UI"/>
            <family val="2"/>
          </rPr>
          <t>Strommix (Feld D25) wird in Abhängigkeit der Haltedauer errechnet,
Quellen und Zwischenwerte siehe rechts</t>
        </r>
      </text>
    </comment>
    <comment ref="A27" authorId="0" shapeId="0" xr:uid="{00000000-0006-0000-0B00-000002000000}">
      <text>
        <r>
          <rPr>
            <sz val="9"/>
            <color indexed="81"/>
            <rFont val="Segoe UI"/>
            <family val="2"/>
          </rPr>
          <t>Quelle: TREMOD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Berhard Bruch</author>
  </authors>
  <commentList>
    <comment ref="A13" authorId="0" shapeId="0" xr:uid="{00000000-0006-0000-0100-000001000000}">
      <text>
        <r>
          <rPr>
            <sz val="9"/>
            <color indexed="81"/>
            <rFont val="Segoe UI"/>
            <family val="2"/>
          </rPr>
          <t>Die Einstellung hat keinen Einfluss auf die Berechnung.
Sie wirkt sich nur auf den bei der Eingabe maximal zulässigen Verbrauch (BEV) bzw. Treibhausgasemissionen (Verbrenner) laut Mindestanforderungen aus.</t>
        </r>
      </text>
    </comment>
    <comment ref="A21" authorId="0" shapeId="0" xr:uid="{00000000-0006-0000-0100-000002000000}">
      <text>
        <r>
          <rPr>
            <sz val="9"/>
            <color indexed="81"/>
            <rFont val="Segoe UI"/>
            <family val="2"/>
          </rPr>
          <t>Wertminderung auf Basis der Fahrzeug-Restwertberechnung nach Quelle BEUC (2016)</t>
        </r>
      </text>
    </comment>
    <comment ref="A24" authorId="0" shapeId="0" xr:uid="{00000000-0006-0000-0100-000003000000}">
      <text>
        <r>
          <rPr>
            <sz val="9"/>
            <color indexed="81"/>
            <rFont val="Segoe UI"/>
            <family val="2"/>
          </rPr>
          <t>Im Szenario "hoch" werden Schäden durch den CO2-Ausstoß für künftige Generationen ähnlich hoch bewertet wie für die gegenwärtige. (Matthey und Bünger 2020)
Alternative CO2-Kosten können Sie ggf. im Tabellenblatt "Grunddaten" eingeben.</t>
        </r>
      </text>
    </comment>
    <comment ref="A29" authorId="0" shapeId="0" xr:uid="{00000000-0006-0000-0100-000004000000}">
      <text>
        <r>
          <rPr>
            <sz val="9"/>
            <color indexed="81"/>
            <rFont val="Segoe UI"/>
            <family val="2"/>
          </rPr>
          <t>Wirkt sich lediglich auf den Strompreis aus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Stefanie Steiner</author>
    <author>Berhard Bruch</author>
  </authors>
  <commentList>
    <comment ref="A2" authorId="0" shapeId="0" xr:uid="{00000000-0006-0000-0300-000001000000}">
      <text>
        <r>
          <rPr>
            <sz val="9"/>
            <color indexed="81"/>
            <rFont val="Segoe UI"/>
            <family val="2"/>
          </rPr>
          <t xml:space="preserve">Hinweis zum Drucken:
mit Datei &gt; Drucken
lässt sich einfach die dargestellte Übersicht auf eine Seite drucken.
</t>
        </r>
      </text>
    </comment>
    <comment ref="A19" authorId="1" shapeId="0" xr:uid="{EAE49A51-9DF3-487B-87A0-0A4820C40CB6}">
      <text>
        <r>
          <rPr>
            <sz val="9"/>
            <color indexed="81"/>
            <rFont val="Segoe UI"/>
            <family val="2"/>
          </rPr>
          <t>Wertminderung = Kaufpreis abzüglich Restwert</t>
        </r>
      </text>
    </comment>
    <comment ref="A21" authorId="0" shapeId="0" xr:uid="{00000000-0006-0000-0300-000002000000}">
      <text>
        <r>
          <rPr>
            <sz val="9"/>
            <color indexed="81"/>
            <rFont val="Segoe UI"/>
            <family val="2"/>
          </rPr>
          <t>Die Kosten werden aufgrund der unten ausgewiesenen Treibhausgasemissionen und dem gewählten Kostenansatz im Blatt "Grunddaten" berechnet.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A2" authorId="0" shapeId="0" xr:uid="{00000000-0006-0000-0400-000001000000}">
      <text>
        <r>
          <rPr>
            <sz val="9"/>
            <color indexed="81"/>
            <rFont val="Segoe UI"/>
            <family val="2"/>
          </rPr>
          <t xml:space="preserve">Hinweis zum Drucken:
mit Datei &gt; Drucken
lässt sich einfach die dargestellte Übersicht auf eine Seite drucken.
</t>
        </r>
      </text>
    </comment>
    <comment ref="A18" authorId="0" shapeId="0" xr:uid="{00000000-0006-0000-0400-000002000000}">
      <text>
        <r>
          <rPr>
            <sz val="9"/>
            <color indexed="81"/>
            <rFont val="Segoe UI"/>
            <family val="2"/>
          </rPr>
          <t>Die Kosten werden aufgrund der unten ausgewiesenen Treibhausgasemissionen und dem gewählten Kostenansatz im Blatt "Grunddaten" berechnet.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Berhard Bruch</author>
  </authors>
  <commentList>
    <comment ref="G1" authorId="0" shapeId="0" xr:uid="{00000000-0006-0000-0500-000001000000}">
      <text>
        <r>
          <rPr>
            <sz val="9"/>
            <color indexed="81"/>
            <rFont val="Segoe UI"/>
            <family val="2"/>
          </rPr>
          <t>Werte, die im Endeffekt zur Berechnung herangezogen werden</t>
        </r>
      </text>
    </comment>
    <comment ref="H25" authorId="0" shapeId="0" xr:uid="{00000000-0006-0000-0500-000002000000}">
      <text>
        <r>
          <rPr>
            <sz val="9"/>
            <color indexed="81"/>
            <rFont val="Segoe UI"/>
            <family val="2"/>
          </rPr>
          <t>Mittelwert über alle Anbieter / Annahme: Gleicher Anteil AC + DC und gleicher Anteil Laden an eigenen Säulen des Stromanbieters und fremden Säulen</t>
        </r>
      </text>
    </comment>
    <comment ref="H27" authorId="0" shapeId="0" xr:uid="{00000000-0006-0000-0500-000003000000}">
      <text>
        <r>
          <rPr>
            <sz val="9"/>
            <color indexed="81"/>
            <rFont val="Segoe UI"/>
            <family val="2"/>
          </rPr>
          <t>Mittelwert Februar-Juli 2023</t>
        </r>
      </text>
    </comment>
    <comment ref="H28" authorId="0" shapeId="0" xr:uid="{00000000-0006-0000-0500-000004000000}">
      <text>
        <r>
          <rPr>
            <sz val="9"/>
            <color indexed="81"/>
            <rFont val="Segoe UI"/>
            <family val="2"/>
          </rPr>
          <t>Mittelwert Februar - Juli 2023
Super E10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A22" authorId="0" shapeId="0" xr:uid="{00000000-0006-0000-0600-000001000000}">
      <text>
        <r>
          <rPr>
            <sz val="9"/>
            <color indexed="81"/>
            <rFont val="Segoe UI"/>
            <family val="2"/>
          </rPr>
          <t>Quellen zur Berechnung:
T&amp;E (2022), Plötz und Jöhrens (2021)</t>
        </r>
      </text>
    </comment>
    <comment ref="A46" authorId="0" shapeId="0" xr:uid="{00000000-0006-0000-0600-000002000000}">
      <text>
        <r>
          <rPr>
            <sz val="9"/>
            <color indexed="81"/>
            <rFont val="Segoe UI"/>
            <family val="2"/>
          </rPr>
          <t>Quelle: Biemann et al. (2023)
In der Quelle werden die THG-Emissionen der Batterieproduktion über 16 Jahre bzw. 220.000 km abgeschrieben.
Die hier hinterlegte Formel bewirkt, dass die Batterie auf weniger km (16 Jahre x angegebene Jahres-km) abgeschrieben wird, wenn die Jahresfahrleistung unter 13.750 km liegt und somit nach 16 Jahren keine 220.000 km Gesamtfahrleistung erreicht werden können.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A22" authorId="0" shapeId="0" xr:uid="{00000000-0006-0000-0700-000001000000}">
      <text>
        <r>
          <rPr>
            <sz val="9"/>
            <color indexed="81"/>
            <rFont val="Segoe UI"/>
            <family val="2"/>
          </rPr>
          <t>Quellen zur Berechnung:
T&amp;E (2022), Plötz und Jöhrens (2021)</t>
        </r>
      </text>
    </comment>
    <comment ref="A46" authorId="0" shapeId="0" xr:uid="{C0EF68A1-E7ED-4A49-B436-F4F1679912E0}">
      <text>
        <r>
          <rPr>
            <sz val="9"/>
            <color indexed="81"/>
            <rFont val="Segoe UI"/>
            <family val="2"/>
          </rPr>
          <t>Quelle: Biemann et al. (2023)
In der Quelle werden die THG-Emissionen der Batterieproduktion über 16 Jahre bzw. 220.000 km abgeschrieben.
Die hier hinterlegte Formel bewirkt, dass die Batterie auf weniger km (16 Jahre x angegebene Jahres-km) abgeschrieben wird, wenn die Jahresfahrleistung unter 13.750 km liegt und somit nach 16 Jahren keine 220.000 km Gesamtfahrleistung erreicht werden können.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A22" authorId="0" shapeId="0" xr:uid="{00000000-0006-0000-0800-000001000000}">
      <text>
        <r>
          <rPr>
            <sz val="9"/>
            <color indexed="81"/>
            <rFont val="Segoe UI"/>
            <family val="2"/>
          </rPr>
          <t>Quellen zur Berechnung:
T&amp;E (2022), Plötz und Jöhrens (2021)</t>
        </r>
      </text>
    </comment>
    <comment ref="A46" authorId="0" shapeId="0" xr:uid="{8FF637F7-E48F-4823-B4AE-FAA72A8FFF39}">
      <text>
        <r>
          <rPr>
            <sz val="9"/>
            <color indexed="81"/>
            <rFont val="Segoe UI"/>
            <family val="2"/>
          </rPr>
          <t>Quelle: Biemann et al. (2023)
In der Quelle werden die THG-Emissionen der Batterieproduktion über 16 Jahre bzw. 220.000 km abgeschrieben.
Die hier hinterlegte Formel bewirkt, dass die Batterie auf weniger km (16 Jahre x angegebene Jahres-km) abgeschrieben wird, wenn die Jahresfahrleistung unter 13.750 km liegt und somit nach 16 Jahren keine 220.000 km Gesamtfahrleistung erreicht werden können.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A22" authorId="0" shapeId="0" xr:uid="{00000000-0006-0000-0900-000001000000}">
      <text>
        <r>
          <rPr>
            <sz val="9"/>
            <color indexed="81"/>
            <rFont val="Segoe UI"/>
            <family val="2"/>
          </rPr>
          <t>Quellen zur Berechnung:
T&amp;E (2022), Plötz und Jöhrens (2021)</t>
        </r>
      </text>
    </comment>
    <comment ref="A46" authorId="0" shapeId="0" xr:uid="{6F3043FA-25D6-48A1-80D1-162DCA9D7861}">
      <text>
        <r>
          <rPr>
            <sz val="9"/>
            <color indexed="81"/>
            <rFont val="Segoe UI"/>
            <family val="2"/>
          </rPr>
          <t>Quelle: Biemann et al. (2023)
In der Quelle werden die THG-Emissionen der Batterieproduktion über 16 Jahre bzw. 220.000 km abgeschrieben.
Die hier hinterlegte Formel bewirkt, dass die Batterie auf weniger km (16 Jahre x angegebene Jahres-km) abgeschrieben wird, wenn die Jahresfahrleistung unter 13.750 km liegt und somit nach 16 Jahren keine 220.000 km Gesamtfahrleistung erreicht werden können.</t>
        </r>
      </text>
    </comment>
  </commentList>
</comments>
</file>

<file path=xl/sharedStrings.xml><?xml version="1.0" encoding="utf-8"?>
<sst xmlns="http://schemas.openxmlformats.org/spreadsheetml/2006/main" count="1026" uniqueCount="538">
  <si>
    <t>Lebenszykluskosten-Rechner für Pkw - beispielhaft mit Daten befüllt</t>
  </si>
  <si>
    <t>Version 1.2 - 10.01.2024</t>
  </si>
  <si>
    <r>
      <t xml:space="preserve">Mit dem vorliegenden Excel-Tool können die Lebenszykluskosten von Pkw berechnet werden. Das Tool wurde vom ifeu entwickelt mit Unterstützung der DBU sowie der Bundesländer Berlin und Brandenburg.
Das Tool richtet sich in erster Linie an Personen im Beschaffungsprozess, kann aber auch anderen Nutzergruppen wie Fachexperten, OEMs oder Autohäusern dienlich sein. Bei komplexen Beschaffungen wird die Zusammenarbeit mit Fachexperten empfohlen, die beim Befüllen der gefragten Daten unterstützen.
</t>
    </r>
    <r>
      <rPr>
        <sz val="10"/>
        <color rgb="FFFF0000"/>
        <rFont val="Arial"/>
        <family val="2"/>
      </rPr>
      <t xml:space="preserve">Der hier vorliegende LZK-Rechner ist noch nicht Bestandteil der Landesvorschriften.
</t>
    </r>
    <r>
      <rPr>
        <sz val="10"/>
        <rFont val="Arial"/>
        <family val="2"/>
      </rPr>
      <t>Alle Kosten sind in EUR brutto (nach Steuern) einzugeben.</t>
    </r>
  </si>
  <si>
    <t>Vorgehen</t>
  </si>
  <si>
    <t>Geben Sie die übergeordneten Informationen zu Ihrem Beschaffungsfall ein. Hier können Informationen wie die erwartete jährliche Laufleistung, die Art der Beschaffung (Kauf/Leasing) und weitere Informationen eingegeben werden.</t>
  </si>
  <si>
    <t>Fügen Sie die abgefragten Daten aus den Angeboten für alle Pkw ein. Die Datenabfrage wird der Ausschreibung beigefügt und umfasst u.a. den Preis, Verbrauchs- und Emissionsangaben und die Batteriegröße.</t>
  </si>
  <si>
    <t>Das Tool prüft bei Eingabe, ob die für die Lebenszykluskosten-Berechnung benötigten Werte der angebotenen Fahrzeuge Ihrer Beschaffungsvorschrift entsprechen. Abweichungen werden durch eine rote Markierung im Tabellenblatt "Eingabe_Angebotswerte" gekennzeichnet. Ggf. müssen Sie die voreingestellen Mindestanforderungen mit Ihren spezifischen Anforderungen abgleichen.</t>
  </si>
  <si>
    <t>Informieren Sie sich über die zur Berechnung verwendeten Energie- und Umweltkosten und ändern Sie diese ggf. entsprechend aktueller Vorgaben.</t>
  </si>
  <si>
    <t xml:space="preserve">Vergleichen Sie die Lebenszykluskosten der verschiedenen Angebote im Tabellenformat und in einer Vergleichsgrafik. Das Ranking der Angebote wird hier direkt angezeigt. </t>
  </si>
  <si>
    <t>Als Teilergebnis der Lebenszykluskosten werden hier ausschließlich die externen Umweltkosten dargestellt und entsprechend verglichen.</t>
  </si>
  <si>
    <t>Pro Pkw-Angebot finden Sie hier eine Ergebnisübersicht, die als PDF gespeichert/gedruckt werden kann.</t>
  </si>
  <si>
    <r>
      <t xml:space="preserve">Im Tabellenblatt </t>
    </r>
    <r>
      <rPr>
        <u/>
        <sz val="10"/>
        <color rgb="FF0070C0"/>
        <rFont val="Arial"/>
        <family val="2"/>
      </rPr>
      <t>"Quellen"</t>
    </r>
    <r>
      <rPr>
        <sz val="10"/>
        <rFont val="Arial"/>
        <family val="2"/>
      </rPr>
      <t xml:space="preserve"> finden Sie Quellenangaben zu verwendeten Werten und Annahmen.</t>
    </r>
  </si>
  <si>
    <t>Bedienung</t>
  </si>
  <si>
    <r>
      <rPr>
        <b/>
        <sz val="10"/>
        <color theme="1"/>
        <rFont val="Arial"/>
        <family val="2"/>
      </rPr>
      <t>Eingabefelde</t>
    </r>
    <r>
      <rPr>
        <b/>
        <sz val="10"/>
        <rFont val="Arial"/>
        <family val="2"/>
      </rPr>
      <t>r</t>
    </r>
    <r>
      <rPr>
        <sz val="10"/>
        <color theme="1"/>
        <rFont val="Arial"/>
        <family val="2"/>
      </rPr>
      <t>: Hier sind die Werte aus den Angeboten einzugeben.</t>
    </r>
  </si>
  <si>
    <r>
      <t xml:space="preserve">Hier liegen </t>
    </r>
    <r>
      <rPr>
        <b/>
        <sz val="10"/>
        <color theme="1"/>
        <rFont val="Arial"/>
        <family val="2"/>
      </rPr>
      <t>Default-Werte</t>
    </r>
    <r>
      <rPr>
        <sz val="10"/>
        <color theme="1"/>
        <rFont val="Arial"/>
        <family val="2"/>
      </rPr>
      <t xml:space="preserve"> vor, die für die Berechnungen verwendet werden. 
Es können auch eigene Daten eingegeben werden.</t>
    </r>
  </si>
  <si>
    <t>bitte wählen</t>
  </si>
  <si>
    <r>
      <rPr>
        <b/>
        <sz val="10"/>
        <color theme="1"/>
        <rFont val="Arial"/>
        <family val="2"/>
      </rPr>
      <t>Auswahlfelder</t>
    </r>
    <r>
      <rPr>
        <sz val="10"/>
        <color theme="1"/>
        <rFont val="Arial"/>
        <family val="2"/>
      </rPr>
      <t>: Durch Anklicken erscheint ein Dropdown-Menü.</t>
    </r>
  </si>
  <si>
    <t>i</t>
  </si>
  <si>
    <r>
      <rPr>
        <b/>
        <sz val="10"/>
        <color theme="1"/>
        <rFont val="Arial"/>
        <family val="2"/>
      </rPr>
      <t>Kommentarfelder</t>
    </r>
    <r>
      <rPr>
        <sz val="10"/>
        <color theme="1"/>
        <rFont val="Arial"/>
        <family val="2"/>
      </rPr>
      <t xml:space="preserve"> mit Hilfestellungen zur Dateneingabe, Quellenangaben etc.
Die Kommentarfelder befinden sich am linken Rand.</t>
    </r>
  </si>
  <si>
    <r>
      <t>Das Excel-Tool ist</t>
    </r>
    <r>
      <rPr>
        <b/>
        <sz val="10"/>
        <color theme="1"/>
        <rFont val="Arial"/>
        <family val="2"/>
      </rPr>
      <t xml:space="preserve"> ohne Passwort</t>
    </r>
    <r>
      <rPr>
        <sz val="10"/>
        <color theme="1"/>
        <rFont val="Arial"/>
        <family val="2"/>
      </rPr>
      <t xml:space="preserve"> geschützt. Der Blattschutz kann unter "Überprüfen -&gt; Blattschutz aufheben" aufgehoben werden.
</t>
    </r>
    <r>
      <rPr>
        <sz val="10"/>
        <rFont val="Arial"/>
        <family val="2"/>
      </rPr>
      <t xml:space="preserve">Das Tool kann grundsätzlich nach eigenen Bedürfnissen angepasst werden. </t>
    </r>
    <r>
      <rPr>
        <sz val="10"/>
        <color theme="1"/>
        <rFont val="Arial"/>
        <family val="2"/>
      </rPr>
      <t>Es ist jedoch zu berücksichtigen, dass dadurch Berechnungsfehler entstehen können.</t>
    </r>
  </si>
  <si>
    <t>Hinweise zum Tool</t>
  </si>
  <si>
    <r>
      <t>Das ifeu - Institut für Energie- und Umweltforschung Heidelberg gGmbH</t>
    </r>
    <r>
      <rPr>
        <i/>
        <sz val="10"/>
        <color theme="1"/>
        <rFont val="Arial"/>
        <family val="2"/>
      </rPr>
      <t xml:space="preserve"> </t>
    </r>
    <r>
      <rPr>
        <sz val="10"/>
        <color theme="1"/>
        <rFont val="Arial"/>
        <family val="2"/>
      </rPr>
      <t>übernimmt keine Haftung für die Richtigkeit der Berechnungen.</t>
    </r>
  </si>
  <si>
    <t>Kontakt</t>
  </si>
  <si>
    <t>Julia Pelzeter - Fachbereich Mobilität</t>
  </si>
  <si>
    <t>ifeu - Institut für Energie- und Umweltforschung Heidelberg gGmbH, Wilckensstraße 3, 69120 Heidelberg</t>
  </si>
  <si>
    <t>Büro Berlin: Reinhardtstraße 50, 10117 Berlin</t>
  </si>
  <si>
    <r>
      <rPr>
        <sz val="10"/>
        <rFont val="Arial"/>
        <family val="2"/>
      </rPr>
      <t xml:space="preserve">Tel.: +49 (0) 30 284 45 78-23 | </t>
    </r>
    <r>
      <rPr>
        <u/>
        <sz val="10"/>
        <color theme="10"/>
        <rFont val="Arial"/>
        <family val="2"/>
      </rPr>
      <t xml:space="preserve">julia.pelzeter@ifeu.de </t>
    </r>
  </si>
  <si>
    <t>DATENEINGABE Pkw-Beschaffungsprojekt</t>
  </si>
  <si>
    <t>zurück zu "Anleitung"</t>
  </si>
  <si>
    <t>Allgemeine Angaben (durch Beschaffer*in einzugeben)</t>
  </si>
  <si>
    <t>Projekt</t>
  </si>
  <si>
    <t>Los 1 - Kauf von 1 Kompaktklasse Pkw</t>
  </si>
  <si>
    <t>Unternehmen/öffentliche Einrichtung</t>
  </si>
  <si>
    <t>Landratsamt Bärstedt</t>
  </si>
  <si>
    <t>Zuständige Person</t>
  </si>
  <si>
    <t>Erika Musterfrau</t>
  </si>
  <si>
    <t>Bearbeitungsdatum</t>
  </si>
  <si>
    <t>Fahrzeugsegment</t>
  </si>
  <si>
    <t>Standard</t>
  </si>
  <si>
    <t>Jahresfahrleistung pro Pkw</t>
  </si>
  <si>
    <t>km/Jahr</t>
  </si>
  <si>
    <t>Art der Beschaffung</t>
  </si>
  <si>
    <t>Kauf</t>
  </si>
  <si>
    <t>Haltedauer</t>
  </si>
  <si>
    <t>Jahre</t>
  </si>
  <si>
    <t>Berücksichtigung des Fahrzeugpreises in der Lebenszykluskosten-Berechnung</t>
  </si>
  <si>
    <t>Wertminderung</t>
  </si>
  <si>
    <r>
      <t>CO</t>
    </r>
    <r>
      <rPr>
        <vertAlign val="subscript"/>
        <sz val="11"/>
        <color theme="1"/>
        <rFont val="Arial"/>
        <family val="2"/>
      </rPr>
      <t>2</t>
    </r>
    <r>
      <rPr>
        <sz val="11"/>
        <color theme="1"/>
        <rFont val="Arial"/>
        <family val="2"/>
      </rPr>
      <t>-Kosten</t>
    </r>
  </si>
  <si>
    <t>(Hoch) 500</t>
  </si>
  <si>
    <r>
      <t>EUR/t CO</t>
    </r>
    <r>
      <rPr>
        <vertAlign val="subscript"/>
        <sz val="11"/>
        <color theme="1"/>
        <rFont val="Arial"/>
        <family val="2"/>
      </rPr>
      <t>2</t>
    </r>
    <r>
      <rPr>
        <sz val="11"/>
        <color theme="1"/>
        <rFont val="Arial"/>
        <family val="2"/>
      </rPr>
      <t>eq</t>
    </r>
  </si>
  <si>
    <t>Eigener Wert:</t>
  </si>
  <si>
    <t>Ladeverhalten Elektroauto</t>
  </si>
  <si>
    <t>Ergänzende Angaben für Elektrofahrzeuge:</t>
  </si>
  <si>
    <t>Eigenen Wert nutzen</t>
  </si>
  <si>
    <t>Anteil eff.</t>
  </si>
  <si>
    <t>Anteil Strom aus eigener Ladestation</t>
  </si>
  <si>
    <t>%</t>
  </si>
  <si>
    <t>Anteil Strom an öffentlichen Säulen geladen</t>
  </si>
  <si>
    <t>DATENEINGABE Fahrzeugangaben -&gt; wie von den Herstellern abgefragt</t>
  </si>
  <si>
    <t>Daten zur Lebenszykluskosten-Berechnung</t>
  </si>
  <si>
    <t>Angebotsnummer</t>
  </si>
  <si>
    <t>Antriebsart</t>
  </si>
  <si>
    <t>Vollelektrisch (BEV)</t>
  </si>
  <si>
    <t>Verbrenner</t>
  </si>
  <si>
    <t>Plug-in-Hybrid (PHEV)</t>
  </si>
  <si>
    <t>Energieträger</t>
  </si>
  <si>
    <t>Strom</t>
  </si>
  <si>
    <t>Diesel</t>
  </si>
  <si>
    <t>Benzin</t>
  </si>
  <si>
    <t>Anbieter</t>
  </si>
  <si>
    <t>A</t>
  </si>
  <si>
    <t>B</t>
  </si>
  <si>
    <t>C</t>
  </si>
  <si>
    <t>D</t>
  </si>
  <si>
    <t>E</t>
  </si>
  <si>
    <t>Fahrzeughersteller</t>
  </si>
  <si>
    <t>VW</t>
  </si>
  <si>
    <t>Opel</t>
  </si>
  <si>
    <t>Kia</t>
  </si>
  <si>
    <t>Renault</t>
  </si>
  <si>
    <t>WICHTIG !</t>
  </si>
  <si>
    <t>Modell</t>
  </si>
  <si>
    <t>ID.3</t>
  </si>
  <si>
    <t>Golf 2.0 TDI</t>
  </si>
  <si>
    <t>Astra 1.5 Diesel</t>
  </si>
  <si>
    <t>Niro 1.6 GDI</t>
  </si>
  <si>
    <t>Mégane E-TECH</t>
  </si>
  <si>
    <t>Beim Kopieren immer nur Werte einfügen</t>
  </si>
  <si>
    <t>Zusatzinfos
(Ausstattungslinie o.ä.)</t>
  </si>
  <si>
    <t>Pro Performance</t>
  </si>
  <si>
    <t>SCR Life</t>
  </si>
  <si>
    <t>Business Elegance</t>
  </si>
  <si>
    <t xml:space="preserve">PlugIn-Hybrid Edition 7 DCT6 </t>
  </si>
  <si>
    <t>Plug-in 160 Techno Multi-Mode-Automatik</t>
  </si>
  <si>
    <t>(Rechtsklick -&gt; Werte einfügen)</t>
  </si>
  <si>
    <t>Leasingsonderzahlung (brutto)</t>
  </si>
  <si>
    <t>EUR</t>
  </si>
  <si>
    <t>*</t>
  </si>
  <si>
    <t>WLTP
-Typprüfwerte</t>
  </si>
  <si>
    <t>Energieverbrauch</t>
  </si>
  <si>
    <t>l/100km</t>
  </si>
  <si>
    <t>kWh/100km</t>
  </si>
  <si>
    <r>
      <t>CO</t>
    </r>
    <r>
      <rPr>
        <vertAlign val="subscript"/>
        <sz val="11"/>
        <rFont val="Arial"/>
        <family val="2"/>
      </rPr>
      <t>2</t>
    </r>
  </si>
  <si>
    <t>g/km</t>
  </si>
  <si>
    <r>
      <t>NO</t>
    </r>
    <r>
      <rPr>
        <vertAlign val="subscript"/>
        <sz val="11"/>
        <color theme="1"/>
        <rFont val="Arial"/>
        <family val="2"/>
      </rPr>
      <t>X</t>
    </r>
    <r>
      <rPr>
        <sz val="11"/>
        <color theme="1"/>
        <rFont val="Arial"/>
        <family val="2"/>
      </rPr>
      <t xml:space="preserve"> (Stickoxide)</t>
    </r>
  </si>
  <si>
    <t>mg/km</t>
  </si>
  <si>
    <t>Partikel</t>
  </si>
  <si>
    <t>Rein elektrische Reichweite</t>
  </si>
  <si>
    <t>km</t>
  </si>
  <si>
    <t>Batteriegröße brutto</t>
  </si>
  <si>
    <t>kWh</t>
  </si>
  <si>
    <t>Check Energieträger</t>
  </si>
  <si>
    <t>Check Werte gefüllt</t>
  </si>
  <si>
    <r>
      <t xml:space="preserve">Bei den umrahmten Werten wird geprüft, ob sie Ihrer Beschaffungsvorschrift entsprechen. Ggf. müssen Sie die voreingestellen Mindestanforderungen mit Ihren spezifischen Anforderungen abgleichen (Tabellenblatt </t>
    </r>
    <r>
      <rPr>
        <u/>
        <sz val="11"/>
        <color rgb="FF0070C0"/>
        <rFont val="Arial"/>
        <family val="2"/>
      </rPr>
      <t>"Grunddaten"</t>
    </r>
    <r>
      <rPr>
        <sz val="11"/>
        <rFont val="Arial"/>
        <family val="2"/>
      </rPr>
      <t xml:space="preserve">). </t>
    </r>
  </si>
  <si>
    <t>Felder mit abweichenden Werten werden rot gekennzeichnet. Das entsprechende Angebot ist von der Wertung auszuschließen.</t>
  </si>
  <si>
    <t>Hinweis: Es sollten nur Pkw aus der gleichen Ausschreibung mit gleichem Nutzen (z.B. Nutzlast, Sitzplätze etc.) verglichen werden.</t>
  </si>
  <si>
    <t>Hinweis: mit &gt;Datei &gt; Drucken können Sie das Ergebnis dieser Seite einfach drucken</t>
  </si>
  <si>
    <t>RESULTATE PKW</t>
  </si>
  <si>
    <t>Projektinfos</t>
  </si>
  <si>
    <t>Lebenszykluskosten</t>
  </si>
  <si>
    <t>Kaufpreis</t>
  </si>
  <si>
    <t>Energiekosten</t>
  </si>
  <si>
    <t>Externe Umweltkosten (Betrieb)</t>
  </si>
  <si>
    <t>Externe Umweltkosten THG (Vorkette)</t>
  </si>
  <si>
    <t>Externe Umweltkosten Herstellung (Batterie)</t>
  </si>
  <si>
    <t>Total</t>
  </si>
  <si>
    <t>Rangfolge nach Lebenszykluskosten</t>
  </si>
  <si>
    <t>Übersicht: Treibhausgasemissionen</t>
  </si>
  <si>
    <t>Treibhausgasemissionen Herstellung (Batterie) (Scope 3)</t>
  </si>
  <si>
    <r>
      <t>t CO</t>
    </r>
    <r>
      <rPr>
        <vertAlign val="subscript"/>
        <sz val="10"/>
        <rFont val="Arial"/>
        <family val="2"/>
      </rPr>
      <t>2</t>
    </r>
    <r>
      <rPr>
        <sz val="10"/>
        <rFont val="Arial"/>
        <family val="2"/>
      </rPr>
      <t>eq</t>
    </r>
  </si>
  <si>
    <t>Treibhausgasemissionen Betrieb (Scope 1 und 2)</t>
  </si>
  <si>
    <t>Lebenszykluskosten Diagramm</t>
  </si>
  <si>
    <t>Externe Umweltkosten THG (Betrieb)</t>
  </si>
  <si>
    <t>Externe Umweltk. Luftschadstoffe (Betrieb)</t>
  </si>
  <si>
    <t>Lebenszykluskosten Diagramm (gesamte Haltedauer)</t>
  </si>
  <si>
    <t>MINDESTANFORDERUNGEN</t>
  </si>
  <si>
    <t>Vorgeschlage Mindestanforderungen (Umweltkriterien)</t>
  </si>
  <si>
    <t>Kategorie</t>
  </si>
  <si>
    <t>Wert</t>
  </si>
  <si>
    <t>Eigene Werte nutzen</t>
  </si>
  <si>
    <t>Einheit</t>
  </si>
  <si>
    <t>Werte eff.</t>
  </si>
  <si>
    <r>
      <t>CO</t>
    </r>
    <r>
      <rPr>
        <vertAlign val="subscript"/>
        <sz val="11"/>
        <color theme="1"/>
        <rFont val="Arial"/>
        <family val="2"/>
      </rPr>
      <t>2</t>
    </r>
    <r>
      <rPr>
        <sz val="11"/>
        <color theme="1"/>
        <rFont val="Arial"/>
        <family val="2"/>
      </rPr>
      <t>-Emissionen (WLTP)</t>
    </r>
  </si>
  <si>
    <t>Verbrenner - Vans und Utilities</t>
  </si>
  <si>
    <t>PHEV</t>
  </si>
  <si>
    <r>
      <t>NO</t>
    </r>
    <r>
      <rPr>
        <vertAlign val="subscript"/>
        <sz val="11"/>
        <color theme="1"/>
        <rFont val="Arial"/>
        <family val="2"/>
      </rPr>
      <t>X</t>
    </r>
    <r>
      <rPr>
        <sz val="11"/>
        <color theme="1"/>
        <rFont val="Arial"/>
        <family val="2"/>
      </rPr>
      <t>-Emissionen (WLTP)</t>
    </r>
  </si>
  <si>
    <t>Verbrenner und PHEV</t>
  </si>
  <si>
    <t>Partikel-Emissionen (WLTP)</t>
  </si>
  <si>
    <t>Energieverbrauch (WLTP)</t>
  </si>
  <si>
    <t>BEV</t>
  </si>
  <si>
    <t>kWh/100 km</t>
  </si>
  <si>
    <t>BEV - Vans und Utilities</t>
  </si>
  <si>
    <t>Elektrische Mindestreichweite (WLTP)</t>
  </si>
  <si>
    <t>ENERGIE- + UMWELTKOSTEN</t>
  </si>
  <si>
    <t>Die Kosten werden in EUR brutto (nach Steuern) angegeben.</t>
  </si>
  <si>
    <t>Angaben zu den Energieträgern</t>
  </si>
  <si>
    <t>Energiepreis</t>
  </si>
  <si>
    <t>Kosten eff.</t>
  </si>
  <si>
    <t>Quellen:</t>
  </si>
  <si>
    <t>Quellen eigene Werte:</t>
  </si>
  <si>
    <t>Strom eigene Ladestation</t>
  </si>
  <si>
    <t>ct/kWh</t>
  </si>
  <si>
    <t>BDEW (2023)</t>
  </si>
  <si>
    <t>Strom externe Ladestation</t>
  </si>
  <si>
    <t>nextmove (2023)</t>
  </si>
  <si>
    <t>EUR/l</t>
  </si>
  <si>
    <t>ADAC (2023b)</t>
  </si>
  <si>
    <t>Erdgas (CNG)</t>
  </si>
  <si>
    <t>EUR/kg</t>
  </si>
  <si>
    <t>ADAC (2023a)</t>
  </si>
  <si>
    <t>Externe Umweltkosten - Annahmen</t>
  </si>
  <si>
    <t>Welche externen Umweltkosten sollen in der LZK-Berechnung berücksichtigt werden?</t>
  </si>
  <si>
    <t>Externe Umweltkosten Treibhausgasemissionen</t>
  </si>
  <si>
    <t>Lambrecht et al. (2023)</t>
  </si>
  <si>
    <t>Externe Umweltkosten NOx (Stickoxide)</t>
  </si>
  <si>
    <t>EUR/g</t>
  </si>
  <si>
    <t>Externe Umweltkosten Partikel (PM2.5)</t>
  </si>
  <si>
    <t xml:space="preserve">Herstellungsemissionen Batterien </t>
  </si>
  <si>
    <t>THG-Emissionen bei der Batterieherstellung</t>
  </si>
  <si>
    <r>
      <t>kg CO</t>
    </r>
    <r>
      <rPr>
        <vertAlign val="subscript"/>
        <sz val="11"/>
        <color theme="1"/>
        <rFont val="Arial"/>
        <family val="2"/>
      </rPr>
      <t>2</t>
    </r>
    <r>
      <rPr>
        <sz val="11"/>
        <color theme="1"/>
        <rFont val="Arial"/>
        <family val="2"/>
      </rPr>
      <t>eq/kWh</t>
    </r>
  </si>
  <si>
    <t>Biemann et al. (2024)</t>
  </si>
  <si>
    <t>Referenz-Batteriechemie: NMC 622</t>
  </si>
  <si>
    <t>RECHENBLATT PKW 1</t>
  </si>
  <si>
    <t>Angaben zum Angebot</t>
  </si>
  <si>
    <t>Angebotenes Fahrzeug</t>
  </si>
  <si>
    <t>Hersteller</t>
  </si>
  <si>
    <t>Zusatzinfos</t>
  </si>
  <si>
    <t>Zusatzberechnungen Plug-In-Hybrid</t>
  </si>
  <si>
    <t>Anteil elektrisches Fahren ("Utility-Faktor") nach WLTP</t>
  </si>
  <si>
    <r>
      <t xml:space="preserve">Verbrauch </t>
    </r>
    <r>
      <rPr>
        <b/>
        <sz val="11"/>
        <color theme="1"/>
        <rFont val="Arial"/>
        <family val="2"/>
      </rPr>
      <t>im reinen Verbrennermodus</t>
    </r>
    <r>
      <rPr>
        <sz val="11"/>
        <color theme="1"/>
        <rFont val="Arial"/>
        <family val="2"/>
      </rPr>
      <t xml:space="preserve"> nach WLTP (errechnet)</t>
    </r>
  </si>
  <si>
    <r>
      <t xml:space="preserve">Verbrauch </t>
    </r>
    <r>
      <rPr>
        <b/>
        <sz val="11"/>
        <color theme="1"/>
        <rFont val="Arial"/>
        <family val="2"/>
      </rPr>
      <t>im rein elektrischen Modus</t>
    </r>
    <r>
      <rPr>
        <sz val="11"/>
        <color theme="1"/>
        <rFont val="Arial"/>
        <family val="2"/>
      </rPr>
      <t xml:space="preserve"> nach WLTP (errechnet)</t>
    </r>
  </si>
  <si>
    <t>Realitätsnaher Anteil elektrisches Fahren (empirisch ermittelt)</t>
  </si>
  <si>
    <t>Kombinierter Verbrauch bei realitätsnahem Anteil elektrisches Fahren</t>
  </si>
  <si>
    <t>Kosten und umweltrelevante Angaben - Betrieb des Fahrzeugs</t>
  </si>
  <si>
    <t>Kraftstoff</t>
  </si>
  <si>
    <t>EUR/Jahr</t>
  </si>
  <si>
    <t>Betrieb: Externe Umweltkosten</t>
  </si>
  <si>
    <t>Treibhausgasemissionen (THG)</t>
  </si>
  <si>
    <r>
      <t>t CO</t>
    </r>
    <r>
      <rPr>
        <b/>
        <vertAlign val="subscript"/>
        <sz val="11"/>
        <color theme="1"/>
        <rFont val="Arial"/>
        <family val="2"/>
      </rPr>
      <t>2</t>
    </r>
    <r>
      <rPr>
        <b/>
        <sz val="11"/>
        <color theme="1"/>
        <rFont val="Arial"/>
        <family val="2"/>
      </rPr>
      <t>eq/Jahr</t>
    </r>
  </si>
  <si>
    <t>NOx (Stickoxide)</t>
  </si>
  <si>
    <t>Vorkette: Externe Umweltkosten</t>
  </si>
  <si>
    <t>Externe Umweltkosten Vorkette</t>
  </si>
  <si>
    <t>Umweltrelevante Angaben - Herstellung der Batterie</t>
  </si>
  <si>
    <t>Herstellung Batterie: Externe Umweltkosten</t>
  </si>
  <si>
    <t>Batterieherstellung</t>
  </si>
  <si>
    <r>
      <t>t CO</t>
    </r>
    <r>
      <rPr>
        <b/>
        <vertAlign val="subscript"/>
        <sz val="11"/>
        <color theme="1"/>
        <rFont val="Arial"/>
        <family val="2"/>
      </rPr>
      <t>2</t>
    </r>
    <r>
      <rPr>
        <b/>
        <sz val="11"/>
        <color theme="1"/>
        <rFont val="Arial"/>
        <family val="2"/>
      </rPr>
      <t>eq gesamt</t>
    </r>
  </si>
  <si>
    <r>
      <t>g CO</t>
    </r>
    <r>
      <rPr>
        <b/>
        <vertAlign val="subscript"/>
        <sz val="11"/>
        <color theme="1"/>
        <rFont val="Arial"/>
        <family val="2"/>
      </rPr>
      <t>2</t>
    </r>
    <r>
      <rPr>
        <b/>
        <sz val="11"/>
        <color theme="1"/>
        <rFont val="Arial"/>
        <family val="2"/>
      </rPr>
      <t>eq/km</t>
    </r>
  </si>
  <si>
    <t>Externe Umweltkosten Batterieherstellung</t>
  </si>
  <si>
    <t>Kosten des Fahrzeugs über die gesamte Haltedauer gesehen</t>
  </si>
  <si>
    <t>Fahrzeugkosten (Leasing-/Mietkosten)</t>
  </si>
  <si>
    <t>Wertminderung (bei gekauften Pkw)</t>
  </si>
  <si>
    <t>Externe Umweltkosten Betrieb</t>
  </si>
  <si>
    <t>Treibhausgasemissionen Herstellung Batterie (Scope 3)</t>
  </si>
  <si>
    <r>
      <t>t CO</t>
    </r>
    <r>
      <rPr>
        <vertAlign val="subscript"/>
        <sz val="11"/>
        <color theme="1"/>
        <rFont val="Arial"/>
        <family val="2"/>
      </rPr>
      <t>2</t>
    </r>
    <r>
      <rPr>
        <sz val="11"/>
        <color theme="1"/>
        <rFont val="Arial"/>
        <family val="2"/>
      </rPr>
      <t>eq</t>
    </r>
  </si>
  <si>
    <t>RECHENBLATT PKW 2</t>
  </si>
  <si>
    <t>RECHENBLATT PKW 3</t>
  </si>
  <si>
    <t>RECHENBLATT PKW 4</t>
  </si>
  <si>
    <t>RECHENBLATT PKW 5</t>
  </si>
  <si>
    <t>EMISSIONSFAKTOREN</t>
  </si>
  <si>
    <t>THG-Emissionen Tailpipe &amp; Vorkette (Well-to-Tank)</t>
  </si>
  <si>
    <t>TTW: THG</t>
  </si>
  <si>
    <t>WTT: THG</t>
  </si>
  <si>
    <r>
      <t>g CO</t>
    </r>
    <r>
      <rPr>
        <vertAlign val="subscript"/>
        <sz val="11"/>
        <color theme="1"/>
        <rFont val="Arial"/>
        <family val="2"/>
      </rPr>
      <t>2</t>
    </r>
    <r>
      <rPr>
        <sz val="11"/>
        <color theme="1"/>
        <rFont val="Arial"/>
        <family val="2"/>
      </rPr>
      <t>eq/MJ</t>
    </r>
  </si>
  <si>
    <t>Quelle: TREMOD (2020)</t>
  </si>
  <si>
    <t>Umrechnungsfaktoren Energieträger</t>
  </si>
  <si>
    <t>Ausgangseinheit</t>
  </si>
  <si>
    <t>Umrechnung in MJ</t>
  </si>
  <si>
    <t>l</t>
  </si>
  <si>
    <t>MJ</t>
  </si>
  <si>
    <t>kg</t>
  </si>
  <si>
    <t>Quellen: AGEB (2022); TREMOD (2020)</t>
  </si>
  <si>
    <t>Ausgangswert (TREMOD 2020)</t>
  </si>
  <si>
    <t>Daten aus Projektionsbericht (UBA 2021), Zwischenwerte sind linear interpoliert</t>
  </si>
  <si>
    <r>
      <t>g CO</t>
    </r>
    <r>
      <rPr>
        <vertAlign val="subscript"/>
        <sz val="11"/>
        <rFont val="Arial"/>
        <family val="2"/>
      </rPr>
      <t>2</t>
    </r>
    <r>
      <rPr>
        <sz val="11"/>
        <rFont val="Arial"/>
        <family val="2"/>
      </rPr>
      <t>eq/kWh</t>
    </r>
  </si>
  <si>
    <t>Jahr</t>
  </si>
  <si>
    <r>
      <t>g CO</t>
    </r>
    <r>
      <rPr>
        <vertAlign val="subscript"/>
        <sz val="11"/>
        <color theme="1"/>
        <rFont val="Arial"/>
        <family val="2"/>
      </rPr>
      <t>2</t>
    </r>
    <r>
      <rPr>
        <sz val="11"/>
        <color theme="1"/>
        <rFont val="Arial"/>
        <family val="2"/>
      </rPr>
      <t>eq/l</t>
    </r>
  </si>
  <si>
    <t>g CO₂/kWh lt. Literaturquelle</t>
  </si>
  <si>
    <t>Retrospektiver Mittelwert</t>
  </si>
  <si>
    <r>
      <t>g CO</t>
    </r>
    <r>
      <rPr>
        <vertAlign val="subscript"/>
        <sz val="11"/>
        <color theme="1"/>
        <rFont val="Arial"/>
        <family val="2"/>
      </rPr>
      <t>2</t>
    </r>
    <r>
      <rPr>
        <sz val="11"/>
        <color theme="1"/>
        <rFont val="Arial"/>
        <family val="2"/>
      </rPr>
      <t>eq/kg</t>
    </r>
  </si>
  <si>
    <t>Finanzierungsart</t>
  </si>
  <si>
    <t>Fahrzeuggesamtpreis (brutto)</t>
  </si>
  <si>
    <t>Leasing</t>
  </si>
  <si>
    <t>EUR/Monat</t>
  </si>
  <si>
    <t>Leasingrate (brutto)</t>
  </si>
  <si>
    <t>Miete</t>
  </si>
  <si>
    <t>Miete (brutto)</t>
  </si>
  <si>
    <t>EnList1</t>
  </si>
  <si>
    <t>EnList2</t>
  </si>
  <si>
    <t>Auf den jeweiligen Reitern Pkw1-5 Felder H5-H12,</t>
  </si>
  <si>
    <t>EnList3</t>
  </si>
  <si>
    <t>da abhängig von der jeweils gewählten Antriebsart</t>
  </si>
  <si>
    <t>EnList4</t>
  </si>
  <si>
    <t>EnList5</t>
  </si>
  <si>
    <t>Ausgangseinheiten der Energieträger</t>
  </si>
  <si>
    <t>Berücksichtung Fahrzeugpreis</t>
  </si>
  <si>
    <t>Utilities/Mini-Vans/Großraum-Vans</t>
  </si>
  <si>
    <t>(Niedrig) 200</t>
  </si>
  <si>
    <t>SCHEMATISCHE DARSTELLUNG DER BERECHNUNG DER LZK</t>
  </si>
  <si>
    <r>
      <t xml:space="preserve">1 </t>
    </r>
    <r>
      <rPr>
        <sz val="11"/>
        <color rgb="FF000000"/>
        <rFont val="Arial"/>
        <family val="2"/>
      </rPr>
      <t xml:space="preserve">Die Stromkosten werden zusätzlich in Abhängigkeit des Anteils Laden eigene Säule/öffentlich (Reiter </t>
    </r>
    <r>
      <rPr>
        <i/>
        <sz val="11"/>
        <color rgb="FF000000"/>
        <rFont val="Arial"/>
        <family val="2"/>
      </rPr>
      <t>Input Projekt</t>
    </r>
    <r>
      <rPr>
        <sz val="11"/>
        <color rgb="FF000000"/>
        <rFont val="Arial"/>
        <family val="2"/>
      </rPr>
      <t>) berechnet.</t>
    </r>
  </si>
  <si>
    <r>
      <t xml:space="preserve">2 </t>
    </r>
    <r>
      <rPr>
        <sz val="11"/>
        <color rgb="FF000000"/>
        <rFont val="Arial"/>
        <family val="2"/>
      </rPr>
      <t>Die CO</t>
    </r>
    <r>
      <rPr>
        <vertAlign val="subscript"/>
        <sz val="11"/>
        <color rgb="FF000000"/>
        <rFont val="Arial"/>
        <family val="2"/>
      </rPr>
      <t>2</t>
    </r>
    <r>
      <rPr>
        <sz val="11"/>
        <color rgb="FF000000"/>
        <rFont val="Arial"/>
        <family val="2"/>
      </rPr>
      <t xml:space="preserve">-Kosten lassen sich zusätzlich im Reiter </t>
    </r>
    <r>
      <rPr>
        <i/>
        <sz val="11"/>
        <color rgb="FF000000"/>
        <rFont val="Arial"/>
        <family val="2"/>
      </rPr>
      <t>Input Projekt</t>
    </r>
    <r>
      <rPr>
        <sz val="11"/>
        <color rgb="FF000000"/>
        <rFont val="Arial"/>
        <family val="2"/>
      </rPr>
      <t xml:space="preserve"> einstellen.</t>
    </r>
  </si>
  <si>
    <r>
      <t xml:space="preserve">3 </t>
    </r>
    <r>
      <rPr>
        <sz val="11"/>
        <color rgb="FF000000"/>
        <rFont val="Arial"/>
        <family val="2"/>
      </rPr>
      <t>Plötz, P. &amp; Jöhrens, J. (2021): Realistic Test Cycle Utility Factors for Plug-in Hybrid Electric Vehicles in Europe. Karlsruhe: Fraunhofer Institute for Systems and Innovation Research ISI</t>
    </r>
  </si>
  <si>
    <t>Die ausführliche Dokumentation finden Sie als PDF auf der Website</t>
  </si>
  <si>
    <r>
      <t>https://www.nachhaltige-oeffentliche-pkw-beschaffung.de</t>
    </r>
    <r>
      <rPr>
        <b/>
        <sz val="11"/>
        <rFont val="Arial"/>
        <family val="2"/>
      </rPr>
      <t xml:space="preserve"> unter "Downloads"</t>
    </r>
  </si>
  <si>
    <t>LISTE DER FELDNAMEN</t>
  </si>
  <si>
    <t>Datum</t>
  </si>
  <si>
    <t>=Input_Projekt!$C$11</t>
  </si>
  <si>
    <t>Fahrleistung</t>
  </si>
  <si>
    <t>=Input_Projekt!$C$15</t>
  </si>
  <si>
    <t>FinArt</t>
  </si>
  <si>
    <t>=Input_Projekt!$C$17</t>
  </si>
  <si>
    <t>=Input_Projekt!$C$19</t>
  </si>
  <si>
    <t>KaufpreisRech</t>
  </si>
  <si>
    <t>=Input_Projekt!$C$21</t>
  </si>
  <si>
    <t>KostTHGVorgabe</t>
  </si>
  <si>
    <t>=Input_Projekt!$C$24</t>
  </si>
  <si>
    <t>Projektname_Z1</t>
  </si>
  <si>
    <t>=Input_Projekt!$C$6</t>
  </si>
  <si>
    <t>Projektname_Z2</t>
  </si>
  <si>
    <t>=Input_Projekt!$C$7</t>
  </si>
  <si>
    <t>Projektname_Z3</t>
  </si>
  <si>
    <t>=Input_Projekt!$C$8</t>
  </si>
  <si>
    <t>Segment</t>
  </si>
  <si>
    <t>=Input_Projekt!$C$13</t>
  </si>
  <si>
    <t>Unternehmen</t>
  </si>
  <si>
    <t>=Input_Projekt!$C$9</t>
  </si>
  <si>
    <t>Zustaendig</t>
  </si>
  <si>
    <t>=Input_Projekt!$C$10</t>
  </si>
  <si>
    <t>Anbieter1</t>
  </si>
  <si>
    <t>=Eingabe_Angebotswerte!$E$9</t>
  </si>
  <si>
    <t>Anbieter2</t>
  </si>
  <si>
    <t>=Eingabe_Angebotswerte!$F$9</t>
  </si>
  <si>
    <t>Anbieter3</t>
  </si>
  <si>
    <t>=Eingabe_Angebotswerte!$G$9</t>
  </si>
  <si>
    <t>Anbieter4</t>
  </si>
  <si>
    <t>=Eingabe_Angebotswerte!$H$9</t>
  </si>
  <si>
    <t>Anbieter5</t>
  </si>
  <si>
    <t>=Eingabe_Angebotswerte!$I$9</t>
  </si>
  <si>
    <t>Antriebsart1</t>
  </si>
  <si>
    <t>=Eingabe_Angebotswerte!$E$7</t>
  </si>
  <si>
    <t>Antriebsart2</t>
  </si>
  <si>
    <t>=Eingabe_Angebotswerte!$F$7</t>
  </si>
  <si>
    <t>Antriebsart3</t>
  </si>
  <si>
    <t>=Eingabe_Angebotswerte!$G$7</t>
  </si>
  <si>
    <t>Antriebsart4</t>
  </si>
  <si>
    <t>=Eingabe_Angebotswerte!$H$7</t>
  </si>
  <si>
    <t>Antriebsart5</t>
  </si>
  <si>
    <t>=Eingabe_Angebotswerte!$I$7</t>
  </si>
  <si>
    <t>Batterie1</t>
  </si>
  <si>
    <t>=Eingabe_Angebotswerte!$E$21</t>
  </si>
  <si>
    <t>Batterie2</t>
  </si>
  <si>
    <t>=Eingabe_Angebotswerte!$F$21</t>
  </si>
  <si>
    <t>Batterie3</t>
  </si>
  <si>
    <t>=Eingabe_Angebotswerte!$G$21</t>
  </si>
  <si>
    <t>Batterie4</t>
  </si>
  <si>
    <t>=Eingabe_Angebotswerte!$H$21</t>
  </si>
  <si>
    <t>Batterie5</t>
  </si>
  <si>
    <t>=Eingabe_Angebotswerte!$I$21</t>
  </si>
  <si>
    <t>CO2_1</t>
  </si>
  <si>
    <t>=Eingabe_Angebotswerte!$E$17</t>
  </si>
  <si>
    <t>CO2_2</t>
  </si>
  <si>
    <t>=Eingabe_Angebotswerte!$F$17</t>
  </si>
  <si>
    <t>CO2_3</t>
  </si>
  <si>
    <t>=Eingabe_Angebotswerte!$G$17</t>
  </si>
  <si>
    <t>CO2_4</t>
  </si>
  <si>
    <t>=Eingabe_Angebotswerte!$H$17</t>
  </si>
  <si>
    <t>CO2_5</t>
  </si>
  <si>
    <t>=Eingabe_Angebotswerte!$I$17</t>
  </si>
  <si>
    <t>Energie1</t>
  </si>
  <si>
    <t>=Eingabe_Angebotswerte!$E$8</t>
  </si>
  <si>
    <t>Energie2</t>
  </si>
  <si>
    <t>=Eingabe_Angebotswerte!$F$8</t>
  </si>
  <si>
    <t>Energie3</t>
  </si>
  <si>
    <t>=Eingabe_Angebotswerte!$G$8</t>
  </si>
  <si>
    <t>Energie4</t>
  </si>
  <si>
    <t>=Eingabe_Angebotswerte!$H$8</t>
  </si>
  <si>
    <t>Energie5</t>
  </si>
  <si>
    <t>=Eingabe_Angebotswerte!$I$8</t>
  </si>
  <si>
    <t>Gesamtpreis1</t>
  </si>
  <si>
    <t>=Eingabe_Angebotswerte!$E$13</t>
  </si>
  <si>
    <t>Gesamtpreis2</t>
  </si>
  <si>
    <t>=Eingabe_Angebotswerte!$F$13</t>
  </si>
  <si>
    <t>Gesamtpreis3</t>
  </si>
  <si>
    <t>=Eingabe_Angebotswerte!$G$13</t>
  </si>
  <si>
    <t>Gesamtpreis4</t>
  </si>
  <si>
    <t>=Eingabe_Angebotswerte!$H$13</t>
  </si>
  <si>
    <t>Gesamtpreis5</t>
  </si>
  <si>
    <t>=Eingabe_Angebotswerte!$I$13</t>
  </si>
  <si>
    <t>Hersteller1</t>
  </si>
  <si>
    <t>=Eingabe_Angebotswerte!$E$10</t>
  </si>
  <si>
    <t>Hersteller2</t>
  </si>
  <si>
    <t>=Eingabe_Angebotswerte!$F$10</t>
  </si>
  <si>
    <t>Hersteller3</t>
  </si>
  <si>
    <t>=Eingabe_Angebotswerte!$G$10</t>
  </si>
  <si>
    <t>Hersteller4</t>
  </si>
  <si>
    <t>=Eingabe_Angebotswerte!$H$10</t>
  </si>
  <si>
    <t>Hersteller5</t>
  </si>
  <si>
    <t>=Eingabe_Angebotswerte!$I$10</t>
  </si>
  <si>
    <t>LeasSondZahl1</t>
  </si>
  <si>
    <t>=Eingabe_Angebotswerte!$E$14</t>
  </si>
  <si>
    <t>LeasSondZahl2</t>
  </si>
  <si>
    <t>=Eingabe_Angebotswerte!$F$14</t>
  </si>
  <si>
    <t>LeasSondZahl3</t>
  </si>
  <si>
    <t>=Eingabe_Angebotswerte!$G$14</t>
  </si>
  <si>
    <t>LeasSondZahl4</t>
  </si>
  <si>
    <t>=Eingabe_Angebotswerte!$H$14</t>
  </si>
  <si>
    <t>LeasSondZahl5</t>
  </si>
  <si>
    <t>=Eingabe_Angebotswerte!$I$14</t>
  </si>
  <si>
    <t>Modell1</t>
  </si>
  <si>
    <t>=Eingabe_Angebotswerte!$E$11</t>
  </si>
  <si>
    <t>Modell2</t>
  </si>
  <si>
    <t>=Eingabe_Angebotswerte!$F$11</t>
  </si>
  <si>
    <t>Modell3</t>
  </si>
  <si>
    <t>=Eingabe_Angebotswerte!$G$11</t>
  </si>
  <si>
    <t>Modell4</t>
  </si>
  <si>
    <t>=Eingabe_Angebotswerte!$H$11</t>
  </si>
  <si>
    <t>Modell5</t>
  </si>
  <si>
    <t>=Eingabe_Angebotswerte!$I$11</t>
  </si>
  <si>
    <t>NOX_1</t>
  </si>
  <si>
    <t>=Eingabe_Angebotswerte!$E$18</t>
  </si>
  <si>
    <t>NOX_2</t>
  </si>
  <si>
    <t>=Eingabe_Angebotswerte!$F$18</t>
  </si>
  <si>
    <t>NOX_3</t>
  </si>
  <si>
    <t>=Eingabe_Angebotswerte!$G$18</t>
  </si>
  <si>
    <t>NOX_4</t>
  </si>
  <si>
    <t>=Eingabe_Angebotswerte!$H$18</t>
  </si>
  <si>
    <t>NOX_5</t>
  </si>
  <si>
    <t>=Eingabe_Angebotswerte!$I$18</t>
  </si>
  <si>
    <t>Partikel1</t>
  </si>
  <si>
    <t>=Eingabe_Angebotswerte!$E$19</t>
  </si>
  <si>
    <t>Partikel2</t>
  </si>
  <si>
    <t>=Eingabe_Angebotswerte!$F$19</t>
  </si>
  <si>
    <t>Partikel3</t>
  </si>
  <si>
    <t>=Eingabe_Angebotswerte!$G$19</t>
  </si>
  <si>
    <t>Partikel4</t>
  </si>
  <si>
    <t>=Eingabe_Angebotswerte!$H$19</t>
  </si>
  <si>
    <t>Partikel5</t>
  </si>
  <si>
    <t>=Eingabe_Angebotswerte!$I$19</t>
  </si>
  <si>
    <t>ReichwPHEV1</t>
  </si>
  <si>
    <t>=Eingabe_Angebotswerte!$E$20</t>
  </si>
  <si>
    <t>ReichwPHEV2</t>
  </si>
  <si>
    <t>=Eingabe_Angebotswerte!$F$20</t>
  </si>
  <si>
    <t>ReichwPHEV3</t>
  </si>
  <si>
    <t>=Eingabe_Angebotswerte!$G$20</t>
  </si>
  <si>
    <t>ReichwPHEV4</t>
  </si>
  <si>
    <t>=Eingabe_Angebotswerte!$H$20</t>
  </si>
  <si>
    <t>ReichwPHEV5</t>
  </si>
  <si>
    <t>=Eingabe_Angebotswerte!$I$20</t>
  </si>
  <si>
    <t>VerbEl_WLTP1</t>
  </si>
  <si>
    <t>=Eingabe_Angebotswerte!$E$16</t>
  </si>
  <si>
    <t>VerbEl_WLTP2</t>
  </si>
  <si>
    <t>=Eingabe_Angebotswerte!$F$16</t>
  </si>
  <si>
    <t>VerbEl_WLTP3</t>
  </si>
  <si>
    <t>=Eingabe_Angebotswerte!$G$16</t>
  </si>
  <si>
    <t>VerbEl_WLTP4</t>
  </si>
  <si>
    <t>=Eingabe_Angebotswerte!$H$16</t>
  </si>
  <si>
    <t>VerbEl_WLTP5</t>
  </si>
  <si>
    <t>=Eingabe_Angebotswerte!$I$16</t>
  </si>
  <si>
    <t>Verbrauch1</t>
  </si>
  <si>
    <t>=Eingabe_Angebotswerte!$E$15</t>
  </si>
  <si>
    <t>Verbrauch2</t>
  </si>
  <si>
    <t>=Eingabe_Angebotswerte!$F$15</t>
  </si>
  <si>
    <t>Verbrauch3</t>
  </si>
  <si>
    <t>=Eingabe_Angebotswerte!$G$15</t>
  </si>
  <si>
    <t>Verbrauch4</t>
  </si>
  <si>
    <t>=Eingabe_Angebotswerte!$H$15</t>
  </si>
  <si>
    <t>Verbrauch5</t>
  </si>
  <si>
    <t>=Eingabe_Angebotswerte!$I$15</t>
  </si>
  <si>
    <t>Zusatzinfo1</t>
  </si>
  <si>
    <t>=Eingabe_Angebotswerte!$E$12</t>
  </si>
  <si>
    <t>Zusatzinfo2</t>
  </si>
  <si>
    <t>=Eingabe_Angebotswerte!$F$12</t>
  </si>
  <si>
    <t>Zusatzinfo3</t>
  </si>
  <si>
    <t>=Eingabe_Angebotswerte!$G$12</t>
  </si>
  <si>
    <t>Zusatzinfo4</t>
  </si>
  <si>
    <t>=Eingabe_Angebotswerte!$H$12</t>
  </si>
  <si>
    <t>Zusatzinfo5</t>
  </si>
  <si>
    <t>=Eingabe_Angebotswerte!$I$12</t>
  </si>
  <si>
    <t>EnKostList</t>
  </si>
  <si>
    <t>=Grunddaten!$B$28:$G$33</t>
  </si>
  <si>
    <t>Kost_NOX</t>
  </si>
  <si>
    <t>=Grunddaten!$G$41</t>
  </si>
  <si>
    <t>Kost_Partikel</t>
  </si>
  <si>
    <t>=Grunddaten!$G$42</t>
  </si>
  <si>
    <t>Kost_THG</t>
  </si>
  <si>
    <t>=Grunddaten!$G$39</t>
  </si>
  <si>
    <t>maxCO2</t>
  </si>
  <si>
    <t>=Grunddaten!$G$7</t>
  </si>
  <si>
    <t>maxCO2PHEV</t>
  </si>
  <si>
    <t>=Grunddaten!$G$9</t>
  </si>
  <si>
    <t>maxCO2Van</t>
  </si>
  <si>
    <t>=Grunddaten!$G$8</t>
  </si>
  <si>
    <t>maxkWh</t>
  </si>
  <si>
    <t>=Grunddaten!$G$12</t>
  </si>
  <si>
    <t>maxkWhVan</t>
  </si>
  <si>
    <t>=Grunddaten!$G$13</t>
  </si>
  <si>
    <t>maxNOX</t>
  </si>
  <si>
    <t>=Grunddaten!$G$10</t>
  </si>
  <si>
    <t>maxPM</t>
  </si>
  <si>
    <t>=Grunddaten!$G$11</t>
  </si>
  <si>
    <t>minReichwPHEV</t>
  </si>
  <si>
    <t>=Grunddaten!$G$18</t>
  </si>
  <si>
    <t>=Erg.Pkw_1!$F$5:$F$8</t>
  </si>
  <si>
    <t>=Erg.Pkw_2!$F$5:$F$8</t>
  </si>
  <si>
    <t>=Erg.Pkw_3!$F$5:$F$8</t>
  </si>
  <si>
    <t>=Erg.Pkw_4!$F$5:$F$8</t>
  </si>
  <si>
    <t>=Erg.Pkw_5!$F$5:$F$8</t>
  </si>
  <si>
    <t>VerbElPHEV1</t>
  </si>
  <si>
    <t>=Erg.Pkw_1!$C$23</t>
  </si>
  <si>
    <t>VerbElPHEV2</t>
  </si>
  <si>
    <t>=Erg.Pkw_2!$C$23</t>
  </si>
  <si>
    <t>VerbElPHEV3</t>
  </si>
  <si>
    <t>=Erg.Pkw_3!$C$23</t>
  </si>
  <si>
    <t>VerbElPHEV4</t>
  </si>
  <si>
    <t>=Erg.Pkw_4!$C$23</t>
  </si>
  <si>
    <t>VerbElPHEV5</t>
  </si>
  <si>
    <t>=Erg.Pkw_5!$C$23</t>
  </si>
  <si>
    <t>VerbPHEV1</t>
  </si>
  <si>
    <t>=Erg.Pkw_1!$C$22</t>
  </si>
  <si>
    <t>VerbPHEV2</t>
  </si>
  <si>
    <t>=Erg.Pkw_2!$C$22</t>
  </si>
  <si>
    <t>VerbPHEV3</t>
  </si>
  <si>
    <t>=Erg.Pkw_3!$C$22</t>
  </si>
  <si>
    <t>VerbPHEV4</t>
  </si>
  <si>
    <t>=Erg.Pkw_4!$C$22</t>
  </si>
  <si>
    <t>VerbPHEV5</t>
  </si>
  <si>
    <t>=Erg.Pkw_5!$C$22</t>
  </si>
  <si>
    <t>Batterie_THG</t>
  </si>
  <si>
    <t>=Em.faktoren!$D$33</t>
  </si>
  <si>
    <t>CO2List</t>
  </si>
  <si>
    <t>=Em.faktoren!$B$26:$D$29</t>
  </si>
  <si>
    <t>EnUmrechList</t>
  </si>
  <si>
    <t>=Em.faktoren!$B$16:$E$18</t>
  </si>
  <si>
    <t>AntrArtList</t>
  </si>
  <si>
    <t>=Listen!$B$8:$B$10</t>
  </si>
  <si>
    <t>EnEinheitList</t>
  </si>
  <si>
    <t>=Listen!$B$20:$D$23</t>
  </si>
  <si>
    <t>FinArtList</t>
  </si>
  <si>
    <t>=Listen!$B$3:$D$5</t>
  </si>
  <si>
    <t>KaufpreisRechList</t>
  </si>
  <si>
    <t>=Listen!$B$26:$B$27</t>
  </si>
  <si>
    <t>KostTHGList</t>
  </si>
  <si>
    <t>=Listen!$B$34:$B$35</t>
  </si>
  <si>
    <t>SegmentList</t>
  </si>
  <si>
    <t>=Listen!$B$30:$B$31</t>
  </si>
  <si>
    <t>Quellenverzeichnis</t>
  </si>
  <si>
    <t>ADAC Preise für Erdgas (CNG)</t>
  </si>
  <si>
    <t>https://www.adac.de/verkehr/tanken-kraftstoff-antrieb/alternative-antriebe/erdgas/</t>
  </si>
  <si>
    <t>ADAC Spritpreis-Entwicklung</t>
  </si>
  <si>
    <t>https://www.adac.de/verkehr/tanken-kraftstoff-antrieb/deutschland/kraftstoffpreisentwicklung/#seit-2021</t>
  </si>
  <si>
    <t>AGEB (2022)</t>
  </si>
  <si>
    <t>AG Energiebilanzen</t>
  </si>
  <si>
    <t>https://ag-energiebilanzen.de/energieeinheitenumrechner/</t>
  </si>
  <si>
    <t>BDEW-Strompreisanalyse Juli 2023</t>
  </si>
  <si>
    <t xml:space="preserve">https://www.bdew.de/service/daten-und-grafiken/bdew-strompreisanalyse/ </t>
  </si>
  <si>
    <t>BEUC (2016)</t>
  </si>
  <si>
    <t>BEUC (Europäischer Verbraucherverband) - Low carbon cars in the 2020s: Consumer impacts and EU
policy implications</t>
  </si>
  <si>
    <t>https://www.beuc.eu/publications/beuc-x-2016-121_low_carbon_cars_in_the_2020s-report.pdf</t>
  </si>
  <si>
    <t>Analyse der Umweltbilanz von Kraftfahrzeugen mit alternativen Antrieben oder Kraftstoffen auf dem Weg zu einem treibhausgasneutralen Verkehr. Umweltbundesamt.</t>
  </si>
  <si>
    <t>https://www.umweltbundesamt.de/publikationen/analyse-der-umweltbilanz-von-kraftfahrzeugen</t>
  </si>
  <si>
    <t>Entwicklung von geeigneten Instrumenten für die umweltverträgliche Beschaffung von Pkw durch öffentliche Stellen</t>
  </si>
  <si>
    <t>https://www.nachhaltige-oeffentliche-pkw-beschaffung.de/assets/downloads/Abschlussbericht_Umweltvertraegliche_Pkw-Beschaffung_ifeu.pdf</t>
  </si>
  <si>
    <t>Matthey und Bünger (2020)</t>
  </si>
  <si>
    <t>Methodenkonvention 3.1 zur Ermittlung von Umweltkosten - Kostensätze. Stand 12/2020. Umweltbundesamt.</t>
  </si>
  <si>
    <t xml:space="preserve">https://www.umweltbundesamt.de/sites/default/files/medien/1410/publikationen/2020-12-21_methodenkonvention_3_1_kostensaetze.pdf </t>
  </si>
  <si>
    <t>nextmove - Tarifvergleich für Fahrstromanbieter (13.01.2023)</t>
  </si>
  <si>
    <t>https://nextmove.de/analyse-zum-deutschen-elektroauto-markt/</t>
  </si>
  <si>
    <t>Plötz &amp; Jöhrens (2021)</t>
  </si>
  <si>
    <t>Realistic Test Cycle Assessment of Plug-in Hybrid Electric Vehicles in Europe. Fraunhofer ISI.</t>
  </si>
  <si>
    <t>https://www.isi.fraunhofer.de/content/dam/isi/dokumente/cce/2021/BMU_Kurzpapier_UF_final.pdf</t>
  </si>
  <si>
    <t>T&amp;E (2021)</t>
  </si>
  <si>
    <t>Analysis of electric car lifecycle CO₂ emissions - Update</t>
  </si>
  <si>
    <t>https://www.transportenvironment.org/wp-content/uploads/2022/05/TE_LCA_Update-June.pdf</t>
  </si>
  <si>
    <t>TREMOD (2020)</t>
  </si>
  <si>
    <t>Transport Emission Model, ifeu</t>
  </si>
  <si>
    <t>https://www.ifeu.de/methoden-tools/modelle/tremod/</t>
  </si>
  <si>
    <t>UBA (2021)</t>
  </si>
  <si>
    <t>Projektionsberichte (integrierte Energie- und THG-Projektionen)</t>
  </si>
  <si>
    <t>https://www.umweltbundesamt.de/themen/klima-energie/klimaschutz-energiepolitik-in-deutschland/szenarien-fuer-die-klimaschutz-energiepolitik/integrierte-energie-treibhausgasprojektionen/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</si>
</sst>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0.0"/>
    <numFmt numFmtId="166" formatCode="_ * #,##0.00_ ;_ * \-#,##0.00_ ;_ * &quot;-&quot;??_ ;_ @_ "/>
    <numFmt numFmtId="167" formatCode="0.000"/>
  </numFmts>
  <fonts count="6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0"/>
      <color theme="0"/>
      <name val="Arial"/>
      <family val="2"/>
    </font>
    <font>
      <b/>
      <sz val="11"/>
      <name val="Arial"/>
      <family val="2"/>
    </font>
    <font>
      <sz val="11"/>
      <name val="Arial"/>
      <family val="2"/>
    </font>
    <font>
      <sz val="11"/>
      <color theme="2" tint="0.59999389629810485"/>
      <name val="Arial"/>
      <family val="2"/>
    </font>
    <font>
      <vertAlign val="subscript"/>
      <sz val="11"/>
      <name val="Arial"/>
      <family val="2"/>
    </font>
    <font>
      <sz val="11"/>
      <color theme="0"/>
      <name val="Arial"/>
      <family val="2"/>
    </font>
    <font>
      <sz val="11"/>
      <color rgb="FFFF0000"/>
      <name val="Arial"/>
      <family val="2"/>
    </font>
    <font>
      <sz val="11"/>
      <color rgb="FF00B0F0"/>
      <name val="Arial"/>
      <family val="2"/>
    </font>
    <font>
      <sz val="10"/>
      <color theme="1"/>
      <name val="Arial"/>
      <family val="2"/>
    </font>
    <font>
      <u/>
      <sz val="11"/>
      <color theme="1"/>
      <name val="Arial"/>
      <family val="2"/>
    </font>
    <font>
      <sz val="8"/>
      <color rgb="FF9C6500"/>
      <name val="Calibri"/>
      <family val="2"/>
      <scheme val="minor"/>
    </font>
    <font>
      <sz val="9"/>
      <color rgb="FF9C6500"/>
      <name val="Calibri"/>
      <family val="2"/>
      <scheme val="minor"/>
    </font>
    <font>
      <vertAlign val="subscript"/>
      <sz val="11"/>
      <color theme="1"/>
      <name val="Arial"/>
      <family val="2"/>
    </font>
    <font>
      <sz val="9"/>
      <color indexed="81"/>
      <name val="Segoe UI"/>
      <family val="2"/>
    </font>
    <font>
      <u/>
      <sz val="10"/>
      <color theme="10"/>
      <name val="Arial"/>
      <family val="2"/>
    </font>
    <font>
      <sz val="10"/>
      <name val="Arial"/>
      <family val="2"/>
    </font>
    <font>
      <vertAlign val="subscript"/>
      <sz val="10"/>
      <name val="Arial"/>
      <family val="2"/>
    </font>
    <font>
      <b/>
      <sz val="10"/>
      <name val="Arial"/>
      <family val="2"/>
    </font>
    <font>
      <b/>
      <sz val="10"/>
      <color theme="1"/>
      <name val="Arial"/>
      <family val="2"/>
    </font>
    <font>
      <i/>
      <sz val="11"/>
      <color rgb="FFFF0000"/>
      <name val="Arial"/>
      <family val="2"/>
    </font>
    <font>
      <sz val="11"/>
      <color theme="0" tint="-0.34998626667073579"/>
      <name val="Arial"/>
      <family val="2"/>
    </font>
    <font>
      <b/>
      <vertAlign val="subscript"/>
      <sz val="11"/>
      <color theme="1"/>
      <name val="Arial"/>
      <family val="2"/>
    </font>
    <font>
      <sz val="11"/>
      <color theme="8" tint="0.39997558519241921"/>
      <name val="Arial"/>
      <family val="2"/>
    </font>
    <font>
      <sz val="11"/>
      <color theme="2" tint="0.79998168889431442"/>
      <name val="Arial"/>
      <family val="2"/>
    </font>
    <font>
      <sz val="11"/>
      <color theme="0" tint="-0.14999847407452621"/>
      <name val="Arial"/>
      <family val="2"/>
    </font>
    <font>
      <i/>
      <sz val="11"/>
      <color theme="1"/>
      <name val="Arial"/>
      <family val="2"/>
    </font>
    <font>
      <sz val="9"/>
      <color theme="1"/>
      <name val="Arial"/>
      <family val="2"/>
    </font>
    <font>
      <u/>
      <sz val="9"/>
      <color theme="10"/>
      <name val="Arial"/>
      <family val="2"/>
    </font>
    <font>
      <b/>
      <sz val="11"/>
      <color theme="0"/>
      <name val="Webdings"/>
      <family val="1"/>
      <charset val="2"/>
    </font>
    <font>
      <b/>
      <sz val="11"/>
      <color theme="0"/>
      <name val="Arial"/>
      <family val="2"/>
    </font>
    <font>
      <sz val="11"/>
      <color theme="8"/>
      <name val="Arial"/>
      <family val="2"/>
    </font>
    <font>
      <sz val="9"/>
      <name val="Arial"/>
      <family val="2"/>
    </font>
    <font>
      <sz val="8"/>
      <color rgb="FF3F3F76"/>
      <name val="Calibri"/>
      <family val="2"/>
      <scheme val="minor"/>
    </font>
    <font>
      <sz val="10"/>
      <color theme="1"/>
      <name val="Symbol"/>
      <family val="1"/>
      <charset val="2"/>
    </font>
    <font>
      <i/>
      <sz val="10"/>
      <color theme="1"/>
      <name val="Arial"/>
      <family val="2"/>
    </font>
    <font>
      <b/>
      <sz val="10"/>
      <color theme="2"/>
      <name val="Arial"/>
      <family val="2"/>
    </font>
    <font>
      <sz val="11"/>
      <color theme="2"/>
      <name val="Arial"/>
      <family val="2"/>
    </font>
    <font>
      <b/>
      <sz val="11"/>
      <color theme="2"/>
      <name val="Webdings"/>
      <family val="1"/>
      <charset val="2"/>
    </font>
    <font>
      <b/>
      <sz val="11"/>
      <color theme="2"/>
      <name val="Arial"/>
      <family val="2"/>
    </font>
    <font>
      <b/>
      <sz val="12"/>
      <color theme="0"/>
      <name val="Arial"/>
      <family val="2"/>
    </font>
    <font>
      <b/>
      <i/>
      <u/>
      <sz val="12"/>
      <color theme="0"/>
      <name val="Arial"/>
      <family val="2"/>
    </font>
    <font>
      <sz val="11"/>
      <name val="Calibri"/>
      <family val="2"/>
      <scheme val="minor"/>
    </font>
    <font>
      <sz val="10"/>
      <color theme="0"/>
      <name val="Arial"/>
      <family val="2"/>
    </font>
    <font>
      <i/>
      <sz val="10"/>
      <color theme="0"/>
      <name val="Arial"/>
      <family val="2"/>
    </font>
    <font>
      <vertAlign val="superscript"/>
      <sz val="11"/>
      <color rgb="FF000000"/>
      <name val="Arial"/>
      <family val="2"/>
    </font>
    <font>
      <sz val="11"/>
      <color rgb="FF000000"/>
      <name val="Arial"/>
      <family val="2"/>
    </font>
    <font>
      <i/>
      <sz val="11"/>
      <color rgb="FF000000"/>
      <name val="Arial"/>
      <family val="2"/>
    </font>
    <font>
      <vertAlign val="subscript"/>
      <sz val="11"/>
      <color rgb="FF000000"/>
      <name val="Arial"/>
      <family val="2"/>
    </font>
    <font>
      <u/>
      <sz val="10"/>
      <name val="Arial"/>
      <family val="2"/>
    </font>
    <font>
      <u/>
      <sz val="10"/>
      <color rgb="FF0070C0"/>
      <name val="Arial"/>
      <family val="2"/>
    </font>
    <font>
      <sz val="9"/>
      <color theme="8" tint="0.79998168889431442"/>
      <name val="Arial"/>
      <family val="2"/>
    </font>
    <font>
      <u/>
      <sz val="11"/>
      <color rgb="FF0070C0"/>
      <name val="Arial"/>
      <family val="2"/>
    </font>
    <font>
      <sz val="10"/>
      <color rgb="FFFF0000"/>
      <name val="Arial"/>
      <family val="2"/>
    </font>
    <font>
      <u/>
      <sz val="11"/>
      <color theme="10"/>
      <name val="Arial"/>
      <family val="2"/>
    </font>
    <font>
      <b/>
      <u/>
      <sz val="11"/>
      <color theme="10"/>
      <name val="Arial"/>
      <family val="2"/>
    </font>
    <font>
      <sz val="9"/>
      <color rgb="FF000000"/>
      <name val="Arial"/>
      <family val="2"/>
    </font>
  </fonts>
  <fills count="22">
    <fill>
      <patternFill patternType="none"/>
    </fill>
    <fill>
      <patternFill patternType="gray125"/>
    </fill>
    <fill>
      <patternFill patternType="solid">
        <fgColor rgb="FFFFEB9C"/>
      </patternFill>
    </fill>
    <fill>
      <patternFill patternType="solid">
        <fgColor theme="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CC99"/>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theme="9" tint="0.59999389629810485"/>
        <bgColor indexed="64"/>
      </patternFill>
    </fill>
    <fill>
      <patternFill patternType="solid">
        <fgColor rgb="FF99CCFF"/>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7D7D"/>
        <bgColor indexed="64"/>
      </patternFill>
    </fill>
    <fill>
      <patternFill patternType="solid">
        <fgColor rgb="FF33CCCC"/>
        <bgColor indexed="64"/>
      </patternFill>
    </fill>
    <fill>
      <patternFill patternType="solid">
        <fgColor theme="3" tint="-0.249977111117893"/>
        <bgColor indexed="64"/>
      </patternFill>
    </fill>
    <fill>
      <patternFill patternType="solid">
        <fgColor rgb="FFB9DCFF"/>
        <bgColor indexed="64"/>
      </patternFill>
    </fill>
  </fills>
  <borders count="58">
    <border>
      <left/>
      <right/>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right style="thin">
        <color theme="3"/>
      </right>
      <top style="thin">
        <color theme="3"/>
      </top>
      <bottom/>
      <diagonal/>
    </border>
    <border>
      <left/>
      <right/>
      <top style="thin">
        <color theme="3"/>
      </top>
      <bottom style="thin">
        <color theme="3"/>
      </bottom>
      <diagonal/>
    </border>
    <border>
      <left/>
      <right/>
      <top style="thin">
        <color theme="3"/>
      </top>
      <bottom/>
      <diagonal/>
    </border>
    <border>
      <left style="thin">
        <color theme="3"/>
      </left>
      <right/>
      <top style="thin">
        <color theme="3"/>
      </top>
      <bottom/>
      <diagonal/>
    </border>
    <border>
      <left style="thin">
        <color theme="3"/>
      </left>
      <right/>
      <top style="thin">
        <color theme="3"/>
      </top>
      <bottom style="double">
        <color theme="3"/>
      </bottom>
      <diagonal/>
    </border>
    <border>
      <left/>
      <right/>
      <top style="thin">
        <color theme="3"/>
      </top>
      <bottom style="double">
        <color theme="3"/>
      </bottom>
      <diagonal/>
    </border>
    <border>
      <left/>
      <right style="thin">
        <color theme="3"/>
      </right>
      <top style="thin">
        <color theme="3"/>
      </top>
      <bottom style="double">
        <color theme="3"/>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medium">
        <color theme="0"/>
      </right>
      <top/>
      <bottom/>
      <diagonal/>
    </border>
    <border>
      <left style="thin">
        <color theme="3"/>
      </left>
      <right/>
      <top style="thin">
        <color theme="3"/>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3"/>
      </left>
      <right/>
      <top style="double">
        <color theme="3"/>
      </top>
      <bottom style="double">
        <color theme="3"/>
      </bottom>
      <diagonal/>
    </border>
    <border>
      <left style="thin">
        <color theme="0"/>
      </left>
      <right style="thin">
        <color theme="0"/>
      </right>
      <top/>
      <bottom/>
      <diagonal/>
    </border>
    <border>
      <left style="thin">
        <color theme="3"/>
      </left>
      <right/>
      <top style="thin">
        <color theme="0"/>
      </top>
      <bottom/>
      <diagonal/>
    </border>
    <border>
      <left style="thin">
        <color theme="3"/>
      </left>
      <right/>
      <top style="thin">
        <color theme="0"/>
      </top>
      <bottom style="thin">
        <color theme="3"/>
      </bottom>
      <diagonal/>
    </border>
    <border>
      <left style="thin">
        <color theme="3"/>
      </left>
      <right style="thin">
        <color theme="0"/>
      </right>
      <top style="thin">
        <color theme="3"/>
      </top>
      <bottom style="thin">
        <color theme="3"/>
      </bottom>
      <diagonal/>
    </border>
    <border>
      <left style="thin">
        <color theme="0"/>
      </left>
      <right style="thin">
        <color theme="3"/>
      </right>
      <top style="thin">
        <color theme="3"/>
      </top>
      <bottom style="thin">
        <color theme="3"/>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1" tint="0.499984740745262"/>
      </left>
      <right style="thin">
        <color theme="0"/>
      </right>
      <top style="thin">
        <color theme="1" tint="0.499984740745262"/>
      </top>
      <bottom style="thin">
        <color theme="0"/>
      </bottom>
      <diagonal/>
    </border>
    <border>
      <left style="thin">
        <color theme="0"/>
      </left>
      <right style="thin">
        <color theme="0"/>
      </right>
      <top style="thin">
        <color theme="1" tint="0.499984740745262"/>
      </top>
      <bottom style="thin">
        <color theme="0"/>
      </bottom>
      <diagonal/>
    </border>
    <border>
      <left style="thin">
        <color theme="0"/>
      </left>
      <right style="thin">
        <color theme="1" tint="0.499984740745262"/>
      </right>
      <top style="thin">
        <color theme="1" tint="0.499984740745262"/>
      </top>
      <bottom style="thin">
        <color theme="0"/>
      </bottom>
      <diagonal/>
    </border>
    <border>
      <left style="thin">
        <color theme="1" tint="0.499984740745262"/>
      </left>
      <right style="thin">
        <color theme="0"/>
      </right>
      <top style="thin">
        <color theme="0"/>
      </top>
      <bottom style="thin">
        <color theme="0"/>
      </bottom>
      <diagonal/>
    </border>
    <border>
      <left style="thin">
        <color theme="0"/>
      </left>
      <right style="thin">
        <color theme="1" tint="0.499984740745262"/>
      </right>
      <top style="thin">
        <color theme="0"/>
      </top>
      <bottom style="thin">
        <color theme="0"/>
      </bottom>
      <diagonal/>
    </border>
    <border>
      <left style="thin">
        <color theme="1" tint="0.499984740745262"/>
      </left>
      <right style="thin">
        <color theme="0"/>
      </right>
      <top style="thin">
        <color theme="0"/>
      </top>
      <bottom style="thin">
        <color theme="1" tint="0.499984740745262"/>
      </bottom>
      <diagonal/>
    </border>
    <border>
      <left style="thin">
        <color theme="0"/>
      </left>
      <right style="thin">
        <color theme="0"/>
      </right>
      <top style="thin">
        <color theme="0"/>
      </top>
      <bottom style="thin">
        <color theme="1" tint="0.499984740745262"/>
      </bottom>
      <diagonal/>
    </border>
    <border>
      <left style="thin">
        <color theme="0"/>
      </left>
      <right style="thin">
        <color theme="1" tint="0.499984740745262"/>
      </right>
      <top style="thin">
        <color theme="0"/>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12">
    <xf numFmtId="0" fontId="0" fillId="0" borderId="0"/>
    <xf numFmtId="9" fontId="1" fillId="0" borderId="0" applyFont="0" applyFill="0" applyBorder="0" applyAlignment="0" applyProtection="0"/>
    <xf numFmtId="0" fontId="14" fillId="2" borderId="0" applyNumberFormat="0" applyBorder="0" applyAlignment="0" applyProtection="0"/>
    <xf numFmtId="0" fontId="12" fillId="0" borderId="0"/>
    <xf numFmtId="0" fontId="18" fillId="0" borderId="0" applyNumberFormat="0" applyFill="0" applyBorder="0" applyAlignment="0" applyProtection="0"/>
    <xf numFmtId="44" fontId="1" fillId="0" borderId="0" applyFont="0" applyFill="0" applyBorder="0" applyAlignment="0" applyProtection="0"/>
    <xf numFmtId="0" fontId="36" fillId="6" borderId="37" applyNumberFormat="0" applyAlignment="0" applyProtection="0"/>
    <xf numFmtId="0" fontId="19" fillId="0" borderId="0"/>
    <xf numFmtId="0" fontId="19" fillId="0" borderId="0"/>
    <xf numFmtId="9" fontId="12" fillId="0" borderId="0" applyFont="0" applyFill="0" applyBorder="0" applyAlignment="0" applyProtection="0"/>
    <xf numFmtId="166" fontId="12" fillId="0" borderId="0" applyFont="0" applyFill="0" applyBorder="0" applyAlignment="0" applyProtection="0"/>
    <xf numFmtId="44" fontId="1" fillId="0" borderId="0" applyFont="0" applyFill="0" applyBorder="0" applyAlignment="0" applyProtection="0"/>
  </cellStyleXfs>
  <cellXfs count="391">
    <xf numFmtId="0" fontId="0" fillId="0" borderId="0" xfId="0"/>
    <xf numFmtId="0" fontId="2" fillId="0" borderId="0" xfId="0" applyFont="1"/>
    <xf numFmtId="0" fontId="3" fillId="0" borderId="0" xfId="0" applyFont="1"/>
    <xf numFmtId="0" fontId="4" fillId="3" borderId="0" xfId="0" applyFont="1" applyFill="1"/>
    <xf numFmtId="0" fontId="4" fillId="3" borderId="0" xfId="0" applyFont="1" applyFill="1" applyAlignment="1">
      <alignment horizontal="right"/>
    </xf>
    <xf numFmtId="0" fontId="2" fillId="3" borderId="0" xfId="0" applyFont="1" applyFill="1"/>
    <xf numFmtId="0" fontId="2" fillId="0" borderId="1" xfId="0" applyFont="1" applyBorder="1"/>
    <xf numFmtId="0" fontId="6" fillId="0" borderId="0" xfId="0" applyFont="1"/>
    <xf numFmtId="0" fontId="7" fillId="0" borderId="0" xfId="0" applyFont="1"/>
    <xf numFmtId="0" fontId="2" fillId="0" borderId="7" xfId="0" applyFont="1" applyBorder="1"/>
    <xf numFmtId="0" fontId="2" fillId="0" borderId="0" xfId="0" applyFont="1" applyAlignment="1">
      <alignment horizontal="center"/>
    </xf>
    <xf numFmtId="0" fontId="10" fillId="0" borderId="0" xfId="0" applyFont="1"/>
    <xf numFmtId="0" fontId="2" fillId="0" borderId="0" xfId="0" applyFont="1" applyAlignment="1">
      <alignment horizontal="left"/>
    </xf>
    <xf numFmtId="0" fontId="2" fillId="0" borderId="0" xfId="0" applyFont="1" applyAlignment="1">
      <alignment horizontal="center" wrapText="1"/>
    </xf>
    <xf numFmtId="0" fontId="11" fillId="0" borderId="0" xfId="0" applyFont="1"/>
    <xf numFmtId="0" fontId="6" fillId="0" borderId="0" xfId="0" applyFont="1" applyAlignment="1">
      <alignment horizontal="center"/>
    </xf>
    <xf numFmtId="0" fontId="4" fillId="3" borderId="0" xfId="3" applyFont="1" applyFill="1"/>
    <xf numFmtId="0" fontId="12" fillId="3" borderId="0" xfId="3" applyFill="1"/>
    <xf numFmtId="0" fontId="12" fillId="0" borderId="0" xfId="0" applyFont="1"/>
    <xf numFmtId="0" fontId="12" fillId="0" borderId="0" xfId="0" applyFont="1" applyAlignment="1">
      <alignment horizontal="center"/>
    </xf>
    <xf numFmtId="0" fontId="22" fillId="0" borderId="0" xfId="0" applyFont="1" applyAlignment="1">
      <alignment vertical="center"/>
    </xf>
    <xf numFmtId="0" fontId="4" fillId="3" borderId="11" xfId="0" applyFont="1" applyFill="1" applyBorder="1"/>
    <xf numFmtId="0" fontId="4" fillId="3" borderId="10" xfId="0" applyFont="1" applyFill="1" applyBorder="1" applyAlignment="1">
      <alignment horizontal="center"/>
    </xf>
    <xf numFmtId="0" fontId="4" fillId="3" borderId="8" xfId="0" applyFont="1" applyFill="1" applyBorder="1" applyAlignment="1">
      <alignment horizontal="center"/>
    </xf>
    <xf numFmtId="0" fontId="12" fillId="0" borderId="1" xfId="0" applyFont="1" applyBorder="1"/>
    <xf numFmtId="0" fontId="12" fillId="0" borderId="0" xfId="0" quotePrefix="1" applyFont="1" applyAlignment="1">
      <alignment horizontal="center"/>
    </xf>
    <xf numFmtId="0" fontId="22" fillId="0" borderId="0" xfId="0" applyFont="1" applyAlignment="1">
      <alignment horizontal="center"/>
    </xf>
    <xf numFmtId="0" fontId="22" fillId="0" borderId="2" xfId="0" applyFont="1" applyBorder="1" applyAlignment="1">
      <alignment horizontal="center"/>
    </xf>
    <xf numFmtId="0" fontId="22" fillId="0" borderId="5" xfId="0" applyFont="1" applyBorder="1" applyAlignment="1">
      <alignment horizontal="center" wrapText="1"/>
    </xf>
    <xf numFmtId="0" fontId="19" fillId="0" borderId="1" xfId="0" applyFont="1" applyBorder="1" applyAlignment="1">
      <alignment wrapText="1"/>
    </xf>
    <xf numFmtId="0" fontId="19" fillId="0" borderId="0" xfId="0" applyFont="1"/>
    <xf numFmtId="0" fontId="12" fillId="0" borderId="3" xfId="0" applyFont="1" applyBorder="1" applyAlignment="1">
      <alignment wrapText="1"/>
    </xf>
    <xf numFmtId="0" fontId="22" fillId="0" borderId="0" xfId="0" applyFont="1"/>
    <xf numFmtId="0" fontId="19" fillId="0" borderId="0" xfId="0" applyFont="1" applyAlignment="1">
      <alignment horizontal="left" vertical="center"/>
    </xf>
    <xf numFmtId="165" fontId="12" fillId="0" borderId="0" xfId="0" applyNumberFormat="1" applyFont="1" applyAlignment="1">
      <alignment horizontal="center" vertical="center"/>
    </xf>
    <xf numFmtId="0" fontId="4" fillId="0" borderId="0" xfId="0" applyFont="1" applyAlignment="1">
      <alignment horizontal="center" vertical="center"/>
    </xf>
    <xf numFmtId="0" fontId="12" fillId="0" borderId="1" xfId="0" applyFont="1" applyBorder="1" applyAlignment="1">
      <alignment vertical="center" wrapText="1"/>
    </xf>
    <xf numFmtId="165" fontId="12" fillId="0" borderId="4" xfId="0" applyNumberFormat="1" applyFont="1" applyBorder="1" applyAlignment="1">
      <alignment horizontal="center" vertical="center"/>
    </xf>
    <xf numFmtId="165" fontId="12" fillId="0" borderId="5" xfId="0" applyNumberFormat="1" applyFont="1" applyBorder="1" applyAlignment="1">
      <alignment horizontal="center" vertical="center"/>
    </xf>
    <xf numFmtId="0" fontId="12" fillId="0" borderId="1" xfId="0" applyFont="1" applyBorder="1" applyAlignment="1">
      <alignment horizontal="right"/>
    </xf>
    <xf numFmtId="0" fontId="22" fillId="0" borderId="3" xfId="0" applyFont="1" applyBorder="1"/>
    <xf numFmtId="0" fontId="12" fillId="0" borderId="4" xfId="0" quotePrefix="1" applyFont="1" applyBorder="1" applyAlignment="1">
      <alignment horizontal="center"/>
    </xf>
    <xf numFmtId="0" fontId="22" fillId="0" borderId="4" xfId="0" applyFont="1" applyBorder="1" applyAlignment="1">
      <alignment horizontal="center" wrapText="1"/>
    </xf>
    <xf numFmtId="3" fontId="12" fillId="0" borderId="0" xfId="0" applyNumberFormat="1" applyFont="1" applyAlignment="1">
      <alignment horizontal="center"/>
    </xf>
    <xf numFmtId="3" fontId="12" fillId="0" borderId="2" xfId="0" applyNumberFormat="1" applyFont="1" applyBorder="1" applyAlignment="1">
      <alignment horizontal="center"/>
    </xf>
    <xf numFmtId="3" fontId="19" fillId="0" borderId="0" xfId="0" applyNumberFormat="1" applyFont="1" applyAlignment="1">
      <alignment horizontal="center"/>
    </xf>
    <xf numFmtId="3" fontId="19" fillId="0" borderId="2" xfId="0" applyNumberFormat="1" applyFont="1" applyBorder="1" applyAlignment="1">
      <alignment horizontal="center"/>
    </xf>
    <xf numFmtId="0" fontId="12" fillId="0" borderId="1" xfId="0" applyFont="1" applyBorder="1" applyAlignment="1">
      <alignment wrapText="1"/>
    </xf>
    <xf numFmtId="0" fontId="12" fillId="0" borderId="4" xfId="0" applyFont="1" applyBorder="1"/>
    <xf numFmtId="3" fontId="12" fillId="0" borderId="4" xfId="0" applyNumberFormat="1" applyFont="1" applyBorder="1" applyAlignment="1">
      <alignment horizontal="center"/>
    </xf>
    <xf numFmtId="3" fontId="12" fillId="0" borderId="5" xfId="0" applyNumberFormat="1" applyFont="1" applyBorder="1" applyAlignment="1">
      <alignment horizontal="center"/>
    </xf>
    <xf numFmtId="0" fontId="22" fillId="0" borderId="12" xfId="0" applyFont="1" applyBorder="1" applyAlignment="1">
      <alignment wrapText="1"/>
    </xf>
    <xf numFmtId="0" fontId="22" fillId="0" borderId="13" xfId="0" applyFont="1" applyBorder="1"/>
    <xf numFmtId="3" fontId="22" fillId="0" borderId="13" xfId="0" applyNumberFormat="1" applyFont="1" applyBorder="1" applyAlignment="1">
      <alignment horizontal="center"/>
    </xf>
    <xf numFmtId="3" fontId="22" fillId="0" borderId="14" xfId="0" applyNumberFormat="1" applyFont="1" applyBorder="1" applyAlignment="1">
      <alignment horizontal="center"/>
    </xf>
    <xf numFmtId="165" fontId="12" fillId="0" borderId="2" xfId="0" applyNumberFormat="1" applyFont="1" applyBorder="1" applyAlignment="1">
      <alignment horizontal="center" vertical="center"/>
    </xf>
    <xf numFmtId="0" fontId="3" fillId="0" borderId="0" xfId="0" applyFont="1" applyAlignment="1">
      <alignment horizontal="left"/>
    </xf>
    <xf numFmtId="0" fontId="2" fillId="0" borderId="15" xfId="0" applyFont="1" applyBorder="1"/>
    <xf numFmtId="0" fontId="2" fillId="0" borderId="0" xfId="0" applyFont="1" applyAlignment="1">
      <alignment vertical="top"/>
    </xf>
    <xf numFmtId="0" fontId="3" fillId="0" borderId="0" xfId="0" applyFont="1" applyAlignment="1">
      <alignment vertical="top"/>
    </xf>
    <xf numFmtId="0" fontId="2" fillId="0" borderId="0" xfId="0" applyFont="1" applyAlignment="1">
      <alignment horizontal="right"/>
    </xf>
    <xf numFmtId="0" fontId="24" fillId="0" borderId="0" xfId="0" applyFont="1"/>
    <xf numFmtId="0" fontId="3" fillId="0" borderId="4" xfId="0" applyFont="1" applyBorder="1"/>
    <xf numFmtId="0" fontId="3" fillId="0" borderId="4" xfId="0" applyFont="1" applyBorder="1" applyAlignment="1">
      <alignment horizontal="center" wrapText="1"/>
    </xf>
    <xf numFmtId="0" fontId="3" fillId="0" borderId="4" xfId="0" applyFont="1" applyBorder="1" applyAlignment="1">
      <alignment horizontal="center"/>
    </xf>
    <xf numFmtId="0" fontId="3" fillId="0" borderId="0" xfId="0" applyFont="1" applyAlignment="1">
      <alignment horizontal="center"/>
    </xf>
    <xf numFmtId="0" fontId="3" fillId="0" borderId="13" xfId="0" applyFont="1" applyBorder="1"/>
    <xf numFmtId="0" fontId="5" fillId="0" borderId="0" xfId="0" applyFont="1"/>
    <xf numFmtId="2" fontId="2" fillId="0" borderId="0" xfId="0" applyNumberFormat="1" applyFont="1" applyAlignment="1">
      <alignment horizontal="center"/>
    </xf>
    <xf numFmtId="0" fontId="4" fillId="0" borderId="0" xfId="0" applyFont="1"/>
    <xf numFmtId="0" fontId="26" fillId="0" borderId="0" xfId="0" applyFont="1"/>
    <xf numFmtId="0" fontId="2" fillId="0" borderId="10" xfId="0" applyFont="1" applyBorder="1"/>
    <xf numFmtId="0" fontId="23" fillId="0" borderId="0" xfId="0" applyFont="1"/>
    <xf numFmtId="0" fontId="27" fillId="0" borderId="0" xfId="0" applyFont="1"/>
    <xf numFmtId="0" fontId="28" fillId="0" borderId="0" xfId="0" applyFont="1"/>
    <xf numFmtId="0" fontId="2" fillId="0" borderId="4" xfId="0" applyFont="1" applyBorder="1"/>
    <xf numFmtId="0" fontId="6" fillId="0" borderId="0" xfId="0" applyFont="1" applyAlignment="1">
      <alignment horizontal="right"/>
    </xf>
    <xf numFmtId="0" fontId="6" fillId="0" borderId="0" xfId="0" applyFont="1" applyAlignment="1">
      <alignment horizontal="left"/>
    </xf>
    <xf numFmtId="0" fontId="22" fillId="0" borderId="30" xfId="0" applyFont="1" applyBorder="1" applyAlignment="1">
      <alignment wrapText="1"/>
    </xf>
    <xf numFmtId="0" fontId="29" fillId="0" borderId="24" xfId="0" applyFont="1" applyBorder="1"/>
    <xf numFmtId="0" fontId="29" fillId="0" borderId="0" xfId="0" applyFont="1"/>
    <xf numFmtId="0" fontId="2" fillId="0" borderId="20" xfId="0" applyFont="1" applyBorder="1"/>
    <xf numFmtId="0" fontId="2" fillId="0" borderId="28" xfId="0" applyFont="1" applyBorder="1"/>
    <xf numFmtId="0" fontId="2" fillId="0" borderId="17" xfId="0" applyFont="1" applyBorder="1"/>
    <xf numFmtId="0" fontId="2" fillId="0" borderId="31" xfId="0" applyFont="1" applyBorder="1"/>
    <xf numFmtId="0" fontId="29" fillId="0" borderId="11" xfId="0" applyFont="1" applyBorder="1"/>
    <xf numFmtId="0" fontId="29" fillId="0" borderId="10" xfId="0" applyFont="1" applyBorder="1"/>
    <xf numFmtId="0" fontId="29" fillId="0" borderId="8" xfId="0" applyFont="1" applyBorder="1"/>
    <xf numFmtId="0" fontId="29" fillId="0" borderId="32" xfId="0" applyFont="1" applyBorder="1"/>
    <xf numFmtId="0" fontId="29" fillId="0" borderId="2" xfId="0" applyFont="1" applyBorder="1"/>
    <xf numFmtId="0" fontId="29" fillId="0" borderId="33" xfId="0" applyFont="1" applyBorder="1"/>
    <xf numFmtId="0" fontId="29" fillId="0" borderId="4" xfId="0" applyFont="1" applyBorder="1"/>
    <xf numFmtId="0" fontId="29" fillId="0" borderId="5" xfId="0" applyFont="1" applyBorder="1"/>
    <xf numFmtId="0" fontId="29" fillId="0" borderId="19" xfId="0" applyFont="1" applyBorder="1"/>
    <xf numFmtId="0" fontId="29" fillId="0" borderId="9" xfId="0" applyFont="1" applyBorder="1"/>
    <xf numFmtId="0" fontId="29" fillId="0" borderId="6" xfId="0" applyFont="1" applyBorder="1"/>
    <xf numFmtId="3" fontId="29" fillId="0" borderId="34" xfId="0" applyNumberFormat="1" applyFont="1" applyBorder="1"/>
    <xf numFmtId="0" fontId="2" fillId="0" borderId="35" xfId="0" applyFont="1" applyBorder="1"/>
    <xf numFmtId="0" fontId="29" fillId="0" borderId="34" xfId="0" applyFont="1" applyBorder="1"/>
    <xf numFmtId="0" fontId="3" fillId="0" borderId="15" xfId="0" applyFont="1" applyBorder="1"/>
    <xf numFmtId="0" fontId="22" fillId="3" borderId="0" xfId="0" applyFont="1" applyFill="1"/>
    <xf numFmtId="0" fontId="3" fillId="0" borderId="4" xfId="0" applyFont="1" applyBorder="1" applyAlignment="1">
      <alignment wrapText="1"/>
    </xf>
    <xf numFmtId="0" fontId="2" fillId="0" borderId="0" xfId="0" applyFont="1" applyAlignment="1">
      <alignment vertical="center"/>
    </xf>
    <xf numFmtId="0" fontId="30" fillId="0" borderId="0" xfId="0" applyFont="1"/>
    <xf numFmtId="0" fontId="2" fillId="3" borderId="0" xfId="0" applyFont="1" applyFill="1" applyAlignment="1">
      <alignment horizontal="center"/>
    </xf>
    <xf numFmtId="2" fontId="2" fillId="0" borderId="0" xfId="0" applyNumberFormat="1" applyFont="1"/>
    <xf numFmtId="0" fontId="31" fillId="0" borderId="0" xfId="4" applyFont="1"/>
    <xf numFmtId="1" fontId="2" fillId="0" borderId="0" xfId="0" applyNumberFormat="1" applyFont="1"/>
    <xf numFmtId="0" fontId="32" fillId="4" borderId="0" xfId="0" applyFont="1" applyFill="1" applyAlignment="1">
      <alignment horizontal="center" vertical="center"/>
    </xf>
    <xf numFmtId="0" fontId="12" fillId="0" borderId="3" xfId="0" applyFont="1" applyBorder="1" applyAlignment="1">
      <alignment vertical="center" wrapText="1"/>
    </xf>
    <xf numFmtId="0" fontId="19" fillId="0" borderId="4" xfId="0" applyFont="1" applyBorder="1" applyAlignment="1">
      <alignment horizontal="left" vertical="center"/>
    </xf>
    <xf numFmtId="0" fontId="21" fillId="0" borderId="0" xfId="0" applyFont="1"/>
    <xf numFmtId="0" fontId="2" fillId="0" borderId="2" xfId="0" applyFont="1" applyBorder="1" applyAlignment="1">
      <alignment horizontal="center"/>
    </xf>
    <xf numFmtId="0" fontId="2" fillId="0" borderId="5" xfId="0" applyFont="1" applyBorder="1" applyAlignment="1">
      <alignment horizontal="center"/>
    </xf>
    <xf numFmtId="0" fontId="2" fillId="0" borderId="16" xfId="0" applyFont="1" applyBorder="1" applyAlignment="1">
      <alignment vertical="top"/>
    </xf>
    <xf numFmtId="0" fontId="32" fillId="0" borderId="0" xfId="0" applyFont="1" applyAlignment="1">
      <alignment horizontal="center" vertical="center"/>
    </xf>
    <xf numFmtId="0" fontId="30" fillId="0" borderId="0" xfId="0" applyFont="1" applyAlignment="1">
      <alignment horizontal="center"/>
    </xf>
    <xf numFmtId="0" fontId="30" fillId="0" borderId="0" xfId="0" applyFont="1" applyAlignment="1">
      <alignment horizontal="left"/>
    </xf>
    <xf numFmtId="0" fontId="18" fillId="0" borderId="0" xfId="4"/>
    <xf numFmtId="0" fontId="34" fillId="0" borderId="0" xfId="0" applyFont="1"/>
    <xf numFmtId="0" fontId="21" fillId="0" borderId="1" xfId="0" applyFont="1" applyBorder="1" applyAlignment="1">
      <alignment wrapText="1"/>
    </xf>
    <xf numFmtId="0" fontId="34" fillId="0" borderId="0" xfId="0" applyFont="1" applyAlignment="1">
      <alignment vertical="top"/>
    </xf>
    <xf numFmtId="0" fontId="6" fillId="0" borderId="36" xfId="0" applyFont="1" applyBorder="1"/>
    <xf numFmtId="2" fontId="6" fillId="0" borderId="0" xfId="0" applyNumberFormat="1" applyFont="1" applyAlignment="1">
      <alignment horizontal="left"/>
    </xf>
    <xf numFmtId="0" fontId="12" fillId="0" borderId="0" xfId="3"/>
    <xf numFmtId="0" fontId="12" fillId="0" borderId="0" xfId="3" applyAlignment="1">
      <alignment horizontal="center"/>
    </xf>
    <xf numFmtId="0" fontId="12" fillId="0" borderId="0" xfId="3" applyAlignment="1">
      <alignment vertical="top" wrapText="1"/>
    </xf>
    <xf numFmtId="0" fontId="4" fillId="0" borderId="0" xfId="3" applyFont="1"/>
    <xf numFmtId="0" fontId="12" fillId="5" borderId="38" xfId="3" applyFill="1" applyBorder="1" applyAlignment="1">
      <alignment horizontal="center"/>
    </xf>
    <xf numFmtId="0" fontId="12" fillId="0" borderId="38" xfId="3" applyBorder="1" applyAlignment="1">
      <alignment horizontal="center"/>
    </xf>
    <xf numFmtId="0" fontId="29" fillId="10" borderId="0" xfId="0" applyFont="1" applyFill="1"/>
    <xf numFmtId="0" fontId="2" fillId="10" borderId="0" xfId="0" applyFont="1" applyFill="1"/>
    <xf numFmtId="3" fontId="3" fillId="0" borderId="3" xfId="0" applyNumberFormat="1" applyFont="1" applyBorder="1" applyAlignment="1">
      <alignment horizontal="center"/>
    </xf>
    <xf numFmtId="3" fontId="3" fillId="0" borderId="4" xfId="0" applyNumberFormat="1" applyFont="1" applyBorder="1" applyAlignment="1">
      <alignment horizontal="left"/>
    </xf>
    <xf numFmtId="3" fontId="3" fillId="0" borderId="4" xfId="0" applyNumberFormat="1" applyFont="1" applyBorder="1" applyAlignment="1">
      <alignment horizontal="center"/>
    </xf>
    <xf numFmtId="3" fontId="3" fillId="0" borderId="4" xfId="0" applyNumberFormat="1" applyFont="1" applyBorder="1" applyAlignment="1">
      <alignment horizontal="right"/>
    </xf>
    <xf numFmtId="0" fontId="39" fillId="0" borderId="18" xfId="0" applyFont="1" applyBorder="1" applyAlignment="1">
      <alignment horizontal="center" vertical="center"/>
    </xf>
    <xf numFmtId="0" fontId="40" fillId="0" borderId="0" xfId="0" applyFont="1"/>
    <xf numFmtId="0" fontId="41" fillId="0" borderId="0" xfId="0" applyFont="1" applyAlignment="1">
      <alignment horizontal="center" vertical="center"/>
    </xf>
    <xf numFmtId="3" fontId="40" fillId="0" borderId="0" xfId="0" applyNumberFormat="1" applyFont="1"/>
    <xf numFmtId="0" fontId="37" fillId="0" borderId="0" xfId="3" applyFont="1" applyAlignment="1">
      <alignment horizontal="left"/>
    </xf>
    <xf numFmtId="0" fontId="12" fillId="0" borderId="0" xfId="3" applyAlignment="1">
      <alignment horizontal="left" vertical="top"/>
    </xf>
    <xf numFmtId="0" fontId="3" fillId="0" borderId="0" xfId="0" applyFont="1" applyAlignment="1">
      <alignment vertical="center" wrapText="1"/>
    </xf>
    <xf numFmtId="0" fontId="3" fillId="0" borderId="0" xfId="0" applyFont="1" applyAlignment="1">
      <alignment vertical="center"/>
    </xf>
    <xf numFmtId="0" fontId="30" fillId="3" borderId="0" xfId="0" applyFont="1" applyFill="1"/>
    <xf numFmtId="0" fontId="42" fillId="0" borderId="0" xfId="0" applyFont="1"/>
    <xf numFmtId="0" fontId="2" fillId="0" borderId="4" xfId="0" applyFont="1" applyBorder="1" applyAlignment="1">
      <alignment horizontal="center"/>
    </xf>
    <xf numFmtId="0" fontId="2" fillId="12" borderId="0" xfId="0" applyFont="1" applyFill="1"/>
    <xf numFmtId="0" fontId="3" fillId="12" borderId="0" xfId="0" applyFont="1" applyFill="1"/>
    <xf numFmtId="164" fontId="2" fillId="0" borderId="0" xfId="0" applyNumberFormat="1" applyFont="1"/>
    <xf numFmtId="1" fontId="6" fillId="0" borderId="0" xfId="0" applyNumberFormat="1" applyFont="1" applyAlignment="1">
      <alignment horizontal="right"/>
    </xf>
    <xf numFmtId="0" fontId="2" fillId="8" borderId="0" xfId="0" applyFont="1" applyFill="1"/>
    <xf numFmtId="0" fontId="3" fillId="8" borderId="0" xfId="0" applyFont="1" applyFill="1"/>
    <xf numFmtId="0" fontId="32" fillId="4" borderId="27" xfId="0" applyFont="1" applyFill="1" applyBorder="1" applyAlignment="1">
      <alignment horizontal="center" vertical="center"/>
    </xf>
    <xf numFmtId="0" fontId="2" fillId="9" borderId="15"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wrapText="1"/>
      <protection locked="0"/>
    </xf>
    <xf numFmtId="3" fontId="2" fillId="5" borderId="15" xfId="5" applyNumberFormat="1" applyFont="1" applyFill="1" applyBorder="1" applyAlignment="1" applyProtection="1">
      <alignment horizontal="center" vertical="center"/>
      <protection locked="0"/>
    </xf>
    <xf numFmtId="0" fontId="43" fillId="3" borderId="0" xfId="3" applyFont="1" applyFill="1"/>
    <xf numFmtId="0" fontId="44" fillId="3" borderId="0" xfId="3" applyFont="1" applyFill="1" applyAlignment="1">
      <alignment horizontal="center"/>
    </xf>
    <xf numFmtId="0" fontId="2" fillId="0" borderId="4" xfId="0" applyFont="1" applyBorder="1" applyAlignment="1">
      <alignment horizontal="left"/>
    </xf>
    <xf numFmtId="0" fontId="9" fillId="0" borderId="0" xfId="0" applyFont="1"/>
    <xf numFmtId="0" fontId="3" fillId="0" borderId="0" xfId="0" applyFont="1" applyAlignment="1">
      <alignment horizontal="right"/>
    </xf>
    <xf numFmtId="0" fontId="22" fillId="0" borderId="4" xfId="0" applyFont="1" applyBorder="1" applyAlignment="1">
      <alignment horizontal="center" vertical="top" wrapText="1"/>
    </xf>
    <xf numFmtId="0" fontId="22" fillId="0" borderId="5" xfId="0" applyFont="1" applyBorder="1" applyAlignment="1">
      <alignment horizontal="center" vertical="top" wrapText="1"/>
    </xf>
    <xf numFmtId="14" fontId="2" fillId="5" borderId="15" xfId="0" applyNumberFormat="1" applyFont="1" applyFill="1" applyBorder="1" applyAlignment="1" applyProtection="1">
      <alignment horizontal="left"/>
      <protection locked="0"/>
    </xf>
    <xf numFmtId="0" fontId="2" fillId="5" borderId="15" xfId="0" applyFont="1" applyFill="1" applyBorder="1" applyAlignment="1" applyProtection="1">
      <alignment horizontal="center"/>
      <protection locked="0"/>
    </xf>
    <xf numFmtId="3" fontId="2" fillId="5" borderId="15" xfId="0" applyNumberFormat="1" applyFont="1" applyFill="1" applyBorder="1" applyAlignment="1" applyProtection="1">
      <alignment horizontal="center"/>
      <protection locked="0"/>
    </xf>
    <xf numFmtId="3" fontId="2" fillId="9" borderId="15" xfId="0" applyNumberFormat="1" applyFont="1" applyFill="1" applyBorder="1" applyAlignment="1" applyProtection="1">
      <alignment horizontal="center"/>
      <protection locked="0"/>
    </xf>
    <xf numFmtId="0" fontId="33" fillId="3" borderId="0" xfId="0" applyFont="1" applyFill="1"/>
    <xf numFmtId="0" fontId="33" fillId="3" borderId="26" xfId="0" applyFont="1" applyFill="1" applyBorder="1"/>
    <xf numFmtId="0" fontId="33" fillId="3" borderId="27" xfId="0" applyFont="1" applyFill="1" applyBorder="1"/>
    <xf numFmtId="0" fontId="33" fillId="3" borderId="28" xfId="0" applyFont="1" applyFill="1" applyBorder="1"/>
    <xf numFmtId="0" fontId="6" fillId="0" borderId="15" xfId="0" applyFont="1" applyBorder="1"/>
    <xf numFmtId="0" fontId="33" fillId="0" borderId="20" xfId="0" applyFont="1" applyBorder="1"/>
    <xf numFmtId="0" fontId="33" fillId="0" borderId="20" xfId="0" applyFont="1" applyBorder="1" applyAlignment="1">
      <alignment horizontal="center"/>
    </xf>
    <xf numFmtId="0" fontId="3" fillId="0" borderId="15" xfId="0" applyFont="1" applyBorder="1" applyAlignment="1">
      <alignment horizontal="center"/>
    </xf>
    <xf numFmtId="0" fontId="2" fillId="0" borderId="15" xfId="0" applyFont="1" applyBorder="1" applyAlignment="1">
      <alignment vertical="center"/>
    </xf>
    <xf numFmtId="0" fontId="6" fillId="0" borderId="15" xfId="0" applyFont="1" applyBorder="1" applyAlignment="1">
      <alignment vertical="center"/>
    </xf>
    <xf numFmtId="0" fontId="6" fillId="0" borderId="0" xfId="0" applyFont="1" applyAlignment="1">
      <alignment vertical="center"/>
    </xf>
    <xf numFmtId="0" fontId="2" fillId="0" borderId="15" xfId="0" applyFont="1" applyBorder="1" applyAlignment="1">
      <alignment vertical="center" wrapText="1"/>
    </xf>
    <xf numFmtId="0" fontId="2" fillId="0" borderId="16" xfId="0" applyFont="1" applyBorder="1" applyAlignment="1">
      <alignment horizontal="center" vertical="center"/>
    </xf>
    <xf numFmtId="0" fontId="45" fillId="0" borderId="0" xfId="6" applyFont="1" applyFill="1" applyBorder="1" applyAlignment="1" applyProtection="1">
      <alignment vertic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14" fontId="2" fillId="0" borderId="15" xfId="0" applyNumberFormat="1" applyFont="1" applyBorder="1"/>
    <xf numFmtId="0" fontId="13" fillId="0" borderId="0" xfId="0" applyFont="1"/>
    <xf numFmtId="0" fontId="2" fillId="0" borderId="7" xfId="1" applyNumberFormat="1" applyFont="1" applyFill="1" applyBorder="1" applyAlignment="1" applyProtection="1">
      <alignment horizontal="center"/>
    </xf>
    <xf numFmtId="0" fontId="15" fillId="0" borderId="0" xfId="2" applyFont="1" applyFill="1" applyProtection="1"/>
    <xf numFmtId="0" fontId="15" fillId="0" borderId="0" xfId="2" applyFont="1" applyFill="1" applyAlignment="1" applyProtection="1">
      <alignment horizontal="center"/>
    </xf>
    <xf numFmtId="0" fontId="12" fillId="7" borderId="0" xfId="3" applyFill="1" applyAlignment="1">
      <alignment horizontal="left" vertical="center" wrapText="1"/>
    </xf>
    <xf numFmtId="0" fontId="12" fillId="9" borderId="38" xfId="3" applyFill="1" applyBorder="1" applyAlignment="1">
      <alignment horizontal="center" vertical="center"/>
    </xf>
    <xf numFmtId="0" fontId="2" fillId="0" borderId="0" xfId="0" applyFont="1" applyAlignment="1">
      <alignment horizontal="left" vertical="center" wrapText="1"/>
    </xf>
    <xf numFmtId="0" fontId="47" fillId="0" borderId="19" xfId="0" applyFont="1" applyBorder="1"/>
    <xf numFmtId="0" fontId="47" fillId="0" borderId="9" xfId="0" quotePrefix="1" applyFont="1" applyBorder="1" applyAlignment="1">
      <alignment horizontal="left"/>
    </xf>
    <xf numFmtId="3" fontId="47" fillId="0" borderId="9" xfId="0" applyNumberFormat="1" applyFont="1" applyBorder="1" applyAlignment="1">
      <alignment horizontal="center" wrapText="1"/>
    </xf>
    <xf numFmtId="3" fontId="47" fillId="0" borderId="6" xfId="0" applyNumberFormat="1" applyFont="1" applyBorder="1" applyAlignment="1">
      <alignment horizontal="center" wrapText="1"/>
    </xf>
    <xf numFmtId="3" fontId="6" fillId="0" borderId="0" xfId="0" applyNumberFormat="1" applyFont="1"/>
    <xf numFmtId="0" fontId="10" fillId="0" borderId="0" xfId="0" applyFont="1" applyAlignment="1">
      <alignment vertical="center"/>
    </xf>
    <xf numFmtId="0" fontId="3" fillId="0" borderId="15" xfId="0" applyFont="1" applyBorder="1" applyAlignment="1">
      <alignment horizontal="left" vertical="center"/>
    </xf>
    <xf numFmtId="0" fontId="6" fillId="0" borderId="4" xfId="0" applyFont="1" applyBorder="1"/>
    <xf numFmtId="0" fontId="3" fillId="0" borderId="20" xfId="0" applyFont="1" applyBorder="1" applyAlignment="1">
      <alignment horizontal="left" vertical="center" wrapText="1"/>
    </xf>
    <xf numFmtId="0" fontId="2" fillId="0" borderId="9" xfId="0" applyFont="1" applyBorder="1"/>
    <xf numFmtId="0" fontId="5" fillId="0" borderId="9" xfId="0" applyFont="1" applyBorder="1"/>
    <xf numFmtId="0" fontId="32" fillId="0" borderId="0" xfId="0" applyFont="1" applyAlignment="1">
      <alignment vertical="center"/>
    </xf>
    <xf numFmtId="0" fontId="3" fillId="10" borderId="0" xfId="0" applyFont="1" applyFill="1"/>
    <xf numFmtId="0" fontId="2" fillId="10" borderId="0" xfId="0" applyFont="1" applyFill="1" applyAlignment="1">
      <alignment horizontal="center"/>
    </xf>
    <xf numFmtId="0" fontId="2" fillId="10" borderId="2" xfId="0" applyFont="1" applyFill="1" applyBorder="1"/>
    <xf numFmtId="0" fontId="7" fillId="10" borderId="0" xfId="0" applyFont="1" applyFill="1" applyAlignment="1">
      <alignment horizontal="center"/>
    </xf>
    <xf numFmtId="0" fontId="7" fillId="10" borderId="0" xfId="0" applyFont="1" applyFill="1" applyAlignment="1">
      <alignment horizontal="center" vertical="center"/>
    </xf>
    <xf numFmtId="0" fontId="7" fillId="10" borderId="0" xfId="0" applyFont="1" applyFill="1"/>
    <xf numFmtId="0" fontId="3" fillId="16" borderId="0" xfId="0" applyFont="1" applyFill="1"/>
    <xf numFmtId="0" fontId="2" fillId="16" borderId="0" xfId="0" applyFont="1" applyFill="1"/>
    <xf numFmtId="0" fontId="2" fillId="16" borderId="0" xfId="0" applyFont="1" applyFill="1" applyAlignment="1">
      <alignment horizontal="center"/>
    </xf>
    <xf numFmtId="0" fontId="6" fillId="16" borderId="0" xfId="0" applyFont="1" applyFill="1" applyAlignment="1">
      <alignment horizontal="center"/>
    </xf>
    <xf numFmtId="0" fontId="2" fillId="16" borderId="2" xfId="0" applyFont="1" applyFill="1" applyBorder="1"/>
    <xf numFmtId="0" fontId="7" fillId="16" borderId="0" xfId="0" applyFont="1" applyFill="1" applyAlignment="1">
      <alignment horizontal="center"/>
    </xf>
    <xf numFmtId="0" fontId="35" fillId="16" borderId="0" xfId="0" applyFont="1" applyFill="1" applyAlignment="1">
      <alignment horizontal="center" vertical="center"/>
    </xf>
    <xf numFmtId="0" fontId="35" fillId="16" borderId="0" xfId="0" applyFont="1" applyFill="1" applyAlignment="1">
      <alignment horizontal="center"/>
    </xf>
    <xf numFmtId="0" fontId="34" fillId="16" borderId="0" xfId="0" applyFont="1" applyFill="1" applyAlignment="1">
      <alignment horizontal="left"/>
    </xf>
    <xf numFmtId="0" fontId="4" fillId="16" borderId="0" xfId="0" applyFont="1" applyFill="1" applyAlignment="1">
      <alignment horizontal="center"/>
    </xf>
    <xf numFmtId="0" fontId="6" fillId="16" borderId="0" xfId="0" applyFont="1" applyFill="1" applyAlignment="1">
      <alignment horizontal="center" wrapText="1"/>
    </xf>
    <xf numFmtId="0" fontId="30" fillId="16" borderId="0" xfId="0" applyFont="1" applyFill="1"/>
    <xf numFmtId="0" fontId="32" fillId="16" borderId="2" xfId="0" applyFont="1" applyFill="1" applyBorder="1" applyAlignment="1">
      <alignment horizontal="center"/>
    </xf>
    <xf numFmtId="0" fontId="32" fillId="16" borderId="2" xfId="0" applyFont="1" applyFill="1" applyBorder="1" applyAlignment="1">
      <alignment horizontal="center" vertical="center"/>
    </xf>
    <xf numFmtId="0" fontId="32" fillId="16" borderId="0" xfId="0" applyFont="1" applyFill="1" applyAlignment="1">
      <alignment vertical="center"/>
    </xf>
    <xf numFmtId="0" fontId="32" fillId="16" borderId="0" xfId="0" applyFont="1" applyFill="1" applyAlignment="1">
      <alignment horizontal="center"/>
    </xf>
    <xf numFmtId="0" fontId="2" fillId="0" borderId="2" xfId="0" applyFont="1" applyBorder="1"/>
    <xf numFmtId="0" fontId="3" fillId="0" borderId="1" xfId="0" applyFont="1" applyBorder="1"/>
    <xf numFmtId="0" fontId="3" fillId="0" borderId="2" xfId="0" applyFont="1" applyBorder="1"/>
    <xf numFmtId="0" fontId="2" fillId="0" borderId="3" xfId="0" applyFont="1" applyBorder="1" applyAlignment="1">
      <alignment horizontal="center"/>
    </xf>
    <xf numFmtId="0" fontId="2" fillId="0" borderId="4" xfId="0" applyFont="1" applyBorder="1" applyAlignment="1">
      <alignment horizontal="center" wrapText="1"/>
    </xf>
    <xf numFmtId="0" fontId="2" fillId="0" borderId="5" xfId="0" applyFont="1" applyBorder="1"/>
    <xf numFmtId="0" fontId="7" fillId="0" borderId="0" xfId="0" applyFont="1" applyAlignment="1">
      <alignment horizontal="center"/>
    </xf>
    <xf numFmtId="0" fontId="2" fillId="0" borderId="19" xfId="0" applyFont="1" applyBorder="1"/>
    <xf numFmtId="0" fontId="2" fillId="0" borderId="6" xfId="0" applyFont="1" applyBorder="1"/>
    <xf numFmtId="164" fontId="2" fillId="0" borderId="7" xfId="0" applyNumberFormat="1" applyFont="1" applyBorder="1" applyAlignment="1">
      <alignment horizontal="center"/>
    </xf>
    <xf numFmtId="0" fontId="2" fillId="0" borderId="3" xfId="0" applyFont="1" applyBorder="1"/>
    <xf numFmtId="0" fontId="7" fillId="0" borderId="1" xfId="0" applyFont="1" applyBorder="1"/>
    <xf numFmtId="0" fontId="9" fillId="0" borderId="0" xfId="0" applyFont="1" applyAlignment="1">
      <alignment horizontal="center"/>
    </xf>
    <xf numFmtId="2" fontId="2" fillId="0" borderId="7" xfId="0" applyNumberFormat="1" applyFont="1" applyBorder="1" applyAlignment="1">
      <alignment horizontal="center"/>
    </xf>
    <xf numFmtId="0" fontId="4" fillId="0" borderId="0" xfId="0" applyFont="1" applyAlignment="1">
      <alignment horizontal="center"/>
    </xf>
    <xf numFmtId="0" fontId="2" fillId="0" borderId="7" xfId="0" applyFont="1" applyBorder="1" applyAlignment="1">
      <alignment horizontal="center"/>
    </xf>
    <xf numFmtId="0" fontId="11" fillId="0" borderId="0" xfId="0" applyFont="1" applyAlignment="1">
      <alignment horizontal="left"/>
    </xf>
    <xf numFmtId="0" fontId="7" fillId="10" borderId="2" xfId="0" applyFont="1" applyFill="1" applyBorder="1"/>
    <xf numFmtId="0" fontId="2" fillId="0" borderId="40" xfId="0" applyFont="1" applyBorder="1"/>
    <xf numFmtId="0" fontId="3" fillId="0" borderId="5" xfId="0" applyFont="1" applyBorder="1" applyAlignment="1">
      <alignment vertical="top"/>
    </xf>
    <xf numFmtId="0" fontId="3" fillId="0" borderId="41" xfId="0" applyFont="1" applyBorder="1" applyAlignment="1">
      <alignment vertical="top"/>
    </xf>
    <xf numFmtId="0" fontId="3" fillId="0" borderId="41" xfId="0" applyFont="1" applyBorder="1" applyAlignment="1">
      <alignment horizontal="center" vertical="top"/>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6" xfId="0" applyFont="1" applyBorder="1" applyAlignment="1">
      <alignment vertical="center" wrapText="1"/>
    </xf>
    <xf numFmtId="0" fontId="6" fillId="0" borderId="7"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xf>
    <xf numFmtId="0" fontId="2" fillId="0" borderId="41" xfId="0" applyFont="1" applyBorder="1" applyAlignment="1">
      <alignment horizontal="center"/>
    </xf>
    <xf numFmtId="0" fontId="2" fillId="0" borderId="41" xfId="0" applyFont="1" applyBorder="1" applyAlignment="1">
      <alignment horizontal="center" wrapText="1"/>
    </xf>
    <xf numFmtId="0" fontId="9" fillId="17" borderId="0" xfId="0" applyFont="1" applyFill="1" applyAlignment="1">
      <alignment vertical="center"/>
    </xf>
    <xf numFmtId="0" fontId="9" fillId="0" borderId="0" xfId="0" applyFont="1" applyAlignment="1">
      <alignment horizontal="right"/>
    </xf>
    <xf numFmtId="0" fontId="22" fillId="17" borderId="0" xfId="0" applyFont="1" applyFill="1" applyAlignment="1">
      <alignment vertical="center"/>
    </xf>
    <xf numFmtId="0" fontId="33" fillId="17" borderId="0" xfId="0" applyFont="1" applyFill="1" applyAlignment="1">
      <alignment horizontal="left"/>
    </xf>
    <xf numFmtId="0" fontId="9" fillId="0" borderId="0" xfId="0" applyFont="1" applyAlignment="1" applyProtection="1">
      <alignment horizontal="left"/>
      <protection locked="0"/>
    </xf>
    <xf numFmtId="3" fontId="4" fillId="0" borderId="0" xfId="0" applyNumberFormat="1" applyFont="1" applyAlignment="1">
      <alignment horizontal="center"/>
    </xf>
    <xf numFmtId="3" fontId="4" fillId="0" borderId="2" xfId="0" applyNumberFormat="1" applyFont="1" applyBorder="1" applyAlignment="1">
      <alignment horizontal="center"/>
    </xf>
    <xf numFmtId="3" fontId="9" fillId="0" borderId="0" xfId="0" applyNumberFormat="1" applyFont="1"/>
    <xf numFmtId="0" fontId="48" fillId="0" borderId="0" xfId="0" applyFont="1" applyAlignment="1">
      <alignment horizontal="left" vertical="center" indent="5" readingOrder="1"/>
    </xf>
    <xf numFmtId="0" fontId="6" fillId="17" borderId="0" xfId="0" applyFont="1" applyFill="1" applyAlignment="1">
      <alignment vertical="center"/>
    </xf>
    <xf numFmtId="0" fontId="6" fillId="18" borderId="0" xfId="0" applyFont="1" applyFill="1" applyAlignment="1">
      <alignment vertical="center"/>
    </xf>
    <xf numFmtId="0" fontId="45" fillId="18" borderId="0" xfId="6" applyFont="1" applyFill="1" applyBorder="1" applyAlignment="1">
      <alignment vertical="center"/>
    </xf>
    <xf numFmtId="0" fontId="6" fillId="0" borderId="16" xfId="0" applyFont="1" applyBorder="1" applyAlignment="1">
      <alignment vertical="center"/>
    </xf>
    <xf numFmtId="0" fontId="2" fillId="18" borderId="0" xfId="0" applyFont="1" applyFill="1" applyAlignment="1">
      <alignment vertical="center"/>
    </xf>
    <xf numFmtId="0" fontId="45" fillId="17" borderId="0" xfId="6" applyFont="1" applyFill="1" applyBorder="1" applyAlignment="1">
      <alignment vertical="center"/>
    </xf>
    <xf numFmtId="0" fontId="12" fillId="21" borderId="38" xfId="3" applyFill="1" applyBorder="1" applyAlignment="1">
      <alignment horizontal="center"/>
    </xf>
    <xf numFmtId="0" fontId="2" fillId="21" borderId="7" xfId="1" applyNumberFormat="1" applyFont="1" applyFill="1" applyBorder="1" applyAlignment="1" applyProtection="1">
      <alignment horizontal="center"/>
      <protection locked="0"/>
    </xf>
    <xf numFmtId="0" fontId="2" fillId="21" borderId="7" xfId="0" applyFont="1" applyFill="1" applyBorder="1" applyAlignment="1" applyProtection="1">
      <alignment horizontal="center"/>
      <protection locked="0"/>
    </xf>
    <xf numFmtId="0" fontId="12" fillId="0" borderId="0" xfId="3" applyAlignment="1">
      <alignment horizontal="left" vertical="center" wrapText="1"/>
    </xf>
    <xf numFmtId="0" fontId="12" fillId="0" borderId="0" xfId="3" applyAlignment="1">
      <alignment horizontal="left" vertical="top" wrapText="1"/>
    </xf>
    <xf numFmtId="0" fontId="35" fillId="16" borderId="0" xfId="0" applyFont="1" applyFill="1"/>
    <xf numFmtId="2" fontId="2" fillId="16" borderId="0" xfId="0" applyNumberFormat="1" applyFont="1" applyFill="1"/>
    <xf numFmtId="2" fontId="6" fillId="16" borderId="0" xfId="0" applyNumberFormat="1" applyFont="1" applyFill="1"/>
    <xf numFmtId="0" fontId="6" fillId="16" borderId="0" xfId="0" applyFont="1" applyFill="1"/>
    <xf numFmtId="0" fontId="19" fillId="0" borderId="0" xfId="4" applyFont="1" applyAlignment="1">
      <alignment horizontal="left" vertical="top"/>
    </xf>
    <xf numFmtId="0" fontId="19" fillId="0" borderId="0" xfId="4" applyFont="1"/>
    <xf numFmtId="0" fontId="19" fillId="0" borderId="0" xfId="4" applyFont="1" applyAlignment="1">
      <alignment horizontal="left" vertical="top" wrapText="1"/>
    </xf>
    <xf numFmtId="0" fontId="19" fillId="0" borderId="0" xfId="3" applyFont="1" applyAlignment="1">
      <alignment horizontal="left" vertical="top" wrapText="1"/>
    </xf>
    <xf numFmtId="0" fontId="35" fillId="16" borderId="0" xfId="0" applyFont="1" applyFill="1" applyAlignment="1" applyProtection="1">
      <alignment horizontal="center"/>
      <protection locked="0"/>
    </xf>
    <xf numFmtId="0" fontId="54" fillId="16" borderId="0" xfId="0" applyFont="1" applyFill="1" applyAlignment="1">
      <alignment horizontal="center" vertical="center" wrapText="1"/>
    </xf>
    <xf numFmtId="0" fontId="2" fillId="5" borderId="39" xfId="0"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protection locked="0"/>
    </xf>
    <xf numFmtId="0" fontId="2" fillId="5" borderId="42" xfId="0" applyFont="1" applyFill="1" applyBorder="1" applyAlignment="1" applyProtection="1">
      <alignment horizontal="center" vertical="center"/>
      <protection locked="0"/>
    </xf>
    <xf numFmtId="0" fontId="2" fillId="5" borderId="43"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2" fillId="5" borderId="46" xfId="0" applyFont="1" applyFill="1" applyBorder="1" applyAlignment="1" applyProtection="1">
      <alignment horizontal="center" vertical="center"/>
      <protection locked="0"/>
    </xf>
    <xf numFmtId="0" fontId="2" fillId="5" borderId="47" xfId="0" applyFont="1" applyFill="1" applyBorder="1" applyAlignment="1" applyProtection="1">
      <alignment horizontal="center" vertical="center"/>
      <protection locked="0"/>
    </xf>
    <xf numFmtId="0" fontId="2" fillId="5" borderId="48" xfId="0" applyFont="1" applyFill="1" applyBorder="1" applyAlignment="1" applyProtection="1">
      <alignment horizontal="center" vertical="center"/>
      <protection locked="0"/>
    </xf>
    <xf numFmtId="0" fontId="2" fillId="5" borderId="49" xfId="0" applyFont="1" applyFill="1" applyBorder="1" applyAlignment="1" applyProtection="1">
      <alignment horizontal="center" vertical="center"/>
      <protection locked="0"/>
    </xf>
    <xf numFmtId="3" fontId="9" fillId="0" borderId="15" xfId="5" applyNumberFormat="1" applyFont="1" applyFill="1" applyBorder="1" applyAlignment="1" applyProtection="1">
      <alignment horizontal="center" vertical="center"/>
    </xf>
    <xf numFmtId="3" fontId="9" fillId="0" borderId="16" xfId="5" applyNumberFormat="1" applyFont="1" applyFill="1" applyBorder="1" applyAlignment="1" applyProtection="1">
      <alignment horizontal="left" vertical="center"/>
    </xf>
    <xf numFmtId="0" fontId="18" fillId="0" borderId="0" xfId="4" applyFill="1"/>
    <xf numFmtId="0" fontId="57" fillId="0" borderId="0" xfId="4" applyFont="1"/>
    <xf numFmtId="0" fontId="58" fillId="0" borderId="0" xfId="4" applyFont="1"/>
    <xf numFmtId="0" fontId="4" fillId="3" borderId="0" xfId="3" applyFont="1" applyFill="1" applyAlignment="1">
      <alignment horizontal="right"/>
    </xf>
    <xf numFmtId="0" fontId="31" fillId="0" borderId="0" xfId="4" applyFont="1" applyAlignment="1">
      <alignment horizontal="left" wrapText="1"/>
    </xf>
    <xf numFmtId="0" fontId="30" fillId="0" borderId="0" xfId="0" applyFont="1" applyAlignment="1">
      <alignment horizontal="left" wrapText="1"/>
    </xf>
    <xf numFmtId="167" fontId="2" fillId="0" borderId="7" xfId="0" applyNumberFormat="1" applyFont="1" applyBorder="1" applyAlignment="1">
      <alignment horizontal="center"/>
    </xf>
    <xf numFmtId="0" fontId="2" fillId="21" borderId="7" xfId="0" applyFont="1" applyFill="1" applyBorder="1" applyAlignment="1" applyProtection="1">
      <alignment horizontal="center" vertical="center"/>
      <protection locked="0"/>
    </xf>
    <xf numFmtId="0" fontId="6" fillId="21" borderId="7" xfId="0" applyFont="1" applyFill="1" applyBorder="1" applyAlignment="1" applyProtection="1">
      <alignment horizontal="center" vertical="center"/>
      <protection locked="0"/>
    </xf>
    <xf numFmtId="0" fontId="2" fillId="21" borderId="0" xfId="0" applyFont="1" applyFill="1" applyProtection="1">
      <protection locked="0"/>
    </xf>
    <xf numFmtId="0" fontId="2" fillId="7" borderId="0" xfId="0" applyFont="1" applyFill="1" applyAlignment="1">
      <alignment horizontal="right"/>
    </xf>
    <xf numFmtId="0" fontId="30" fillId="0" borderId="0" xfId="0" applyFont="1" applyAlignment="1">
      <alignment wrapText="1"/>
    </xf>
    <xf numFmtId="0" fontId="31" fillId="0" borderId="0" xfId="4" applyFont="1" applyAlignment="1">
      <alignment wrapText="1"/>
    </xf>
    <xf numFmtId="0" fontId="30" fillId="0" borderId="0" xfId="0" applyFont="1" applyAlignment="1">
      <alignment horizontal="left" vertical="top" wrapText="1"/>
    </xf>
    <xf numFmtId="0" fontId="30" fillId="0" borderId="0" xfId="0" applyFont="1" applyAlignment="1">
      <alignment vertical="top" wrapText="1"/>
    </xf>
    <xf numFmtId="0" fontId="2" fillId="0" borderId="16" xfId="0" applyFont="1" applyBorder="1" applyAlignment="1">
      <alignment horizontal="left" vertical="center"/>
    </xf>
    <xf numFmtId="2" fontId="2" fillId="0" borderId="0" xfId="0" applyNumberFormat="1" applyFont="1" applyAlignment="1">
      <alignment horizontal="right"/>
    </xf>
    <xf numFmtId="2" fontId="2" fillId="0" borderId="13" xfId="0" applyNumberFormat="1" applyFont="1" applyBorder="1" applyAlignment="1">
      <alignment horizontal="right"/>
    </xf>
    <xf numFmtId="2" fontId="2" fillId="0" borderId="0" xfId="0" applyNumberFormat="1" applyFont="1" applyAlignment="1">
      <alignment horizontal="right" vertical="center"/>
    </xf>
    <xf numFmtId="3" fontId="2" fillId="0" borderId="10" xfId="0" applyNumberFormat="1" applyFont="1" applyBorder="1" applyAlignment="1">
      <alignment horizontal="right"/>
    </xf>
    <xf numFmtId="3" fontId="2" fillId="0" borderId="0" xfId="0" applyNumberFormat="1" applyFont="1" applyAlignment="1">
      <alignment horizontal="right"/>
    </xf>
    <xf numFmtId="3" fontId="2" fillId="0" borderId="4" xfId="0" applyNumberFormat="1" applyFont="1" applyBorder="1" applyAlignment="1">
      <alignment horizontal="right"/>
    </xf>
    <xf numFmtId="3" fontId="3" fillId="0" borderId="13" xfId="0" applyNumberFormat="1" applyFont="1" applyBorder="1" applyAlignment="1">
      <alignment horizontal="right"/>
    </xf>
    <xf numFmtId="2" fontId="2" fillId="0" borderId="10" xfId="0" applyNumberFormat="1" applyFont="1" applyBorder="1" applyAlignment="1">
      <alignment horizontal="right"/>
    </xf>
    <xf numFmtId="2" fontId="2" fillId="0" borderId="4" xfId="0" applyNumberFormat="1" applyFont="1" applyBorder="1" applyAlignment="1">
      <alignment horizontal="right"/>
    </xf>
    <xf numFmtId="2" fontId="6" fillId="0" borderId="0" xfId="0" applyNumberFormat="1" applyFont="1" applyAlignment="1">
      <alignment horizontal="right"/>
    </xf>
    <xf numFmtId="9" fontId="6" fillId="0" borderId="4" xfId="1" quotePrefix="1" applyFont="1" applyFill="1" applyBorder="1" applyAlignment="1">
      <alignment horizontal="right"/>
    </xf>
    <xf numFmtId="164" fontId="6" fillId="0" borderId="0" xfId="0" quotePrefix="1" applyNumberFormat="1" applyFont="1" applyAlignment="1">
      <alignment horizontal="right"/>
    </xf>
    <xf numFmtId="164" fontId="6" fillId="0" borderId="4" xfId="0" quotePrefix="1" applyNumberFormat="1" applyFont="1" applyBorder="1" applyAlignment="1">
      <alignment horizontal="right"/>
    </xf>
    <xf numFmtId="9" fontId="6" fillId="0" borderId="9" xfId="1" quotePrefix="1" applyFont="1" applyFill="1" applyBorder="1" applyAlignment="1">
      <alignment horizontal="right"/>
    </xf>
    <xf numFmtId="164" fontId="3" fillId="0" borderId="0" xfId="0" applyNumberFormat="1" applyFont="1" applyAlignment="1">
      <alignment horizontal="right"/>
    </xf>
    <xf numFmtId="0" fontId="59" fillId="0" borderId="0" xfId="0" applyFont="1" applyFill="1" applyBorder="1" applyAlignment="1"/>
    <xf numFmtId="0" fontId="12" fillId="0" borderId="0" xfId="3" applyAlignment="1">
      <alignment horizontal="left" vertical="center" wrapText="1"/>
    </xf>
    <xf numFmtId="0" fontId="12" fillId="0" borderId="0" xfId="3" applyAlignment="1">
      <alignment horizontal="left" vertical="top" wrapText="1"/>
    </xf>
    <xf numFmtId="0" fontId="19" fillId="15" borderId="0" xfId="4" applyFont="1" applyFill="1" applyAlignment="1">
      <alignment horizontal="left" vertical="center" wrapText="1"/>
    </xf>
    <xf numFmtId="0" fontId="52" fillId="15" borderId="0" xfId="4" applyFont="1" applyFill="1" applyAlignment="1">
      <alignment horizontal="left" vertical="center" wrapText="1"/>
    </xf>
    <xf numFmtId="0" fontId="19" fillId="8" borderId="0" xfId="4" applyFont="1" applyFill="1" applyAlignment="1">
      <alignment horizontal="left" vertical="center" wrapText="1"/>
    </xf>
    <xf numFmtId="0" fontId="18" fillId="8" borderId="0" xfId="4" applyFill="1" applyAlignment="1">
      <alignment horizontal="left" vertical="center" wrapText="1"/>
    </xf>
    <xf numFmtId="0" fontId="19" fillId="14" borderId="0" xfId="4" applyFont="1" applyFill="1" applyAlignment="1">
      <alignment horizontal="left" vertical="center" wrapText="1"/>
    </xf>
    <xf numFmtId="0" fontId="18" fillId="14" borderId="0" xfId="4" applyFill="1" applyAlignment="1">
      <alignment horizontal="left" vertical="center" wrapText="1"/>
    </xf>
    <xf numFmtId="0" fontId="19" fillId="11" borderId="0" xfId="4" applyFont="1" applyFill="1" applyAlignment="1">
      <alignment horizontal="left" vertical="center" wrapText="1"/>
    </xf>
    <xf numFmtId="0" fontId="18" fillId="11" borderId="0" xfId="4" applyFill="1" applyAlignment="1">
      <alignment horizontal="left" vertical="center" wrapText="1"/>
    </xf>
    <xf numFmtId="0" fontId="19" fillId="19" borderId="0" xfId="4" applyFont="1" applyFill="1" applyAlignment="1">
      <alignment horizontal="left" vertical="center" wrapText="1"/>
    </xf>
    <xf numFmtId="0" fontId="46" fillId="20" borderId="0" xfId="4" applyFont="1" applyFill="1" applyAlignment="1">
      <alignment horizontal="left" vertical="center" wrapText="1"/>
    </xf>
    <xf numFmtId="0" fontId="12" fillId="13" borderId="0" xfId="3" applyFill="1" applyAlignment="1">
      <alignment horizontal="left" vertical="center" wrapText="1"/>
    </xf>
    <xf numFmtId="0" fontId="12" fillId="0" borderId="0" xfId="3" applyAlignment="1">
      <alignment horizontal="left" vertical="center"/>
    </xf>
    <xf numFmtId="0" fontId="32" fillId="4" borderId="0" xfId="0" applyFont="1" applyFill="1" applyAlignment="1">
      <alignment horizontal="center" vertical="center"/>
    </xf>
    <xf numFmtId="0" fontId="2" fillId="9" borderId="0" xfId="0" applyFont="1" applyFill="1" applyAlignment="1" applyProtection="1">
      <alignment horizontal="left"/>
      <protection locked="0"/>
    </xf>
    <xf numFmtId="14" fontId="2" fillId="9" borderId="16" xfId="0" applyNumberFormat="1" applyFont="1" applyFill="1" applyBorder="1" applyAlignment="1" applyProtection="1">
      <alignment horizontal="left"/>
      <protection locked="0"/>
    </xf>
    <xf numFmtId="14" fontId="2" fillId="9" borderId="17" xfId="0" applyNumberFormat="1" applyFont="1" applyFill="1" applyBorder="1" applyAlignment="1" applyProtection="1">
      <alignment horizontal="left"/>
      <protection locked="0"/>
    </xf>
    <xf numFmtId="0" fontId="2" fillId="0" borderId="0" xfId="0" applyFont="1" applyAlignment="1">
      <alignment horizontal="left" vertical="center" wrapText="1"/>
    </xf>
    <xf numFmtId="0" fontId="2" fillId="5" borderId="21" xfId="0" applyFont="1" applyFill="1" applyBorder="1" applyAlignment="1" applyProtection="1">
      <alignment horizontal="left" vertical="top"/>
      <protection locked="0"/>
    </xf>
    <xf numFmtId="0" fontId="2" fillId="5" borderId="22" xfId="0" applyFont="1" applyFill="1" applyBorder="1" applyAlignment="1" applyProtection="1">
      <alignment horizontal="left" vertical="top"/>
      <protection locked="0"/>
    </xf>
    <xf numFmtId="0" fontId="2" fillId="5" borderId="23" xfId="0" applyFont="1" applyFill="1" applyBorder="1" applyAlignment="1" applyProtection="1">
      <alignment horizontal="left" vertical="top"/>
      <protection locked="0"/>
    </xf>
    <xf numFmtId="0" fontId="2" fillId="5" borderId="24" xfId="0" applyFont="1" applyFill="1" applyBorder="1" applyAlignment="1" applyProtection="1">
      <alignment horizontal="left" vertical="top"/>
      <protection locked="0"/>
    </xf>
    <xf numFmtId="0" fontId="2" fillId="5" borderId="0" xfId="0" applyFont="1" applyFill="1" applyAlignment="1" applyProtection="1">
      <alignment horizontal="left" vertical="top"/>
      <protection locked="0"/>
    </xf>
    <xf numFmtId="0" fontId="2" fillId="5" borderId="25" xfId="0" applyFont="1" applyFill="1" applyBorder="1" applyAlignment="1" applyProtection="1">
      <alignment horizontal="left" vertical="top"/>
      <protection locked="0"/>
    </xf>
    <xf numFmtId="0" fontId="2" fillId="5" borderId="26" xfId="0" applyFont="1" applyFill="1" applyBorder="1" applyAlignment="1" applyProtection="1">
      <alignment horizontal="left" vertical="top"/>
      <protection locked="0"/>
    </xf>
    <xf numFmtId="0" fontId="2" fillId="5" borderId="27" xfId="0" applyFont="1" applyFill="1" applyBorder="1" applyAlignment="1" applyProtection="1">
      <alignment horizontal="left" vertical="top"/>
      <protection locked="0"/>
    </xf>
    <xf numFmtId="0" fontId="2" fillId="5" borderId="28" xfId="0" applyFont="1" applyFill="1" applyBorder="1" applyAlignment="1" applyProtection="1">
      <alignment horizontal="left" vertical="top"/>
      <protection locked="0"/>
    </xf>
    <xf numFmtId="0" fontId="2" fillId="5" borderId="16" xfId="0" applyFont="1" applyFill="1" applyBorder="1" applyAlignment="1" applyProtection="1">
      <alignment horizontal="left" vertical="top"/>
      <protection locked="0"/>
    </xf>
    <xf numFmtId="0" fontId="2" fillId="5" borderId="29" xfId="0" applyFont="1" applyFill="1" applyBorder="1" applyAlignment="1" applyProtection="1">
      <alignment horizontal="left" vertical="top"/>
      <protection locked="0"/>
    </xf>
    <xf numFmtId="0" fontId="2" fillId="5" borderId="17" xfId="0" applyFont="1" applyFill="1" applyBorder="1" applyAlignment="1" applyProtection="1">
      <alignment horizontal="left" vertical="top"/>
      <protection locked="0"/>
    </xf>
    <xf numFmtId="0" fontId="2" fillId="0" borderId="53"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6" fillId="0" borderId="50" xfId="4" applyFont="1" applyBorder="1" applyAlignment="1">
      <alignment horizontal="left" wrapText="1"/>
    </xf>
    <xf numFmtId="0" fontId="6" fillId="0" borderId="51" xfId="4" applyFont="1" applyBorder="1" applyAlignment="1">
      <alignment horizontal="left" wrapText="1"/>
    </xf>
    <xf numFmtId="0" fontId="6" fillId="0" borderId="52" xfId="4" applyFont="1" applyBorder="1" applyAlignment="1">
      <alignment horizontal="left" wrapText="1"/>
    </xf>
    <xf numFmtId="0" fontId="2" fillId="0" borderId="39" xfId="0" applyFont="1" applyBorder="1" applyAlignment="1">
      <alignment horizontal="left" vertical="center"/>
    </xf>
    <xf numFmtId="0" fontId="2" fillId="0" borderId="20" xfId="0" applyFont="1" applyBorder="1" applyAlignment="1">
      <alignment horizontal="left" vertical="center"/>
    </xf>
    <xf numFmtId="0" fontId="5" fillId="4" borderId="25" xfId="0" applyFont="1" applyFill="1" applyBorder="1" applyAlignment="1">
      <alignment horizontal="center" vertical="center" textRotation="90" wrapText="1"/>
    </xf>
    <xf numFmtId="0" fontId="2" fillId="18" borderId="0" xfId="0" applyFont="1" applyFill="1" applyAlignment="1">
      <alignment horizontal="center" vertical="center"/>
    </xf>
    <xf numFmtId="0" fontId="6" fillId="18" borderId="0" xfId="0" applyFont="1" applyFill="1" applyAlignment="1">
      <alignment horizontal="center" vertical="top"/>
    </xf>
    <xf numFmtId="0" fontId="6" fillId="18" borderId="0" xfId="0" applyFont="1" applyFill="1" applyAlignment="1">
      <alignment horizontal="center" vertical="center"/>
    </xf>
    <xf numFmtId="14" fontId="29" fillId="0" borderId="19" xfId="0" applyNumberFormat="1" applyFont="1" applyBorder="1" applyAlignment="1">
      <alignment horizontal="left"/>
    </xf>
    <xf numFmtId="14" fontId="29" fillId="0" borderId="6" xfId="0" applyNumberFormat="1" applyFont="1" applyBorder="1" applyAlignment="1">
      <alignment horizontal="left"/>
    </xf>
    <xf numFmtId="0" fontId="32" fillId="4" borderId="2" xfId="0" applyFont="1" applyFill="1" applyBorder="1" applyAlignment="1">
      <alignment horizontal="center" vertical="center"/>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32" fillId="16" borderId="2" xfId="0" applyFont="1" applyFill="1" applyBorder="1" applyAlignment="1">
      <alignment horizontal="center" vertical="center"/>
    </xf>
    <xf numFmtId="0" fontId="3" fillId="0" borderId="0" xfId="0" applyFont="1" applyAlignment="1">
      <alignment horizontal="left" wrapText="1"/>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31" xfId="0" applyFont="1" applyBorder="1" applyAlignment="1">
      <alignment horizontal="left" vertical="center"/>
    </xf>
    <xf numFmtId="0" fontId="32" fillId="4" borderId="25" xfId="0" applyFont="1" applyFill="1" applyBorder="1" applyAlignment="1">
      <alignment horizontal="center" vertical="center"/>
    </xf>
    <xf numFmtId="0" fontId="6" fillId="0" borderId="36" xfId="0" applyFont="1" applyBorder="1" applyAlignment="1">
      <alignment horizontal="center" wrapText="1"/>
    </xf>
    <xf numFmtId="0" fontId="6" fillId="0" borderId="36" xfId="0" applyFont="1" applyBorder="1" applyAlignment="1">
      <alignment horizontal="center"/>
    </xf>
    <xf numFmtId="0" fontId="32" fillId="4" borderId="22" xfId="0" applyFont="1" applyFill="1" applyBorder="1" applyAlignment="1">
      <alignment horizontal="center" vertical="center"/>
    </xf>
  </cellXfs>
  <cellStyles count="12">
    <cellStyle name="Eingabe" xfId="6" builtinId="20"/>
    <cellStyle name="Komma 2" xfId="10" xr:uid="{00000000-0005-0000-0000-000001000000}"/>
    <cellStyle name="Link" xfId="4" builtinId="8"/>
    <cellStyle name="Neutral 2" xfId="2" xr:uid="{00000000-0005-0000-0000-000003000000}"/>
    <cellStyle name="Prozent" xfId="1" builtinId="5"/>
    <cellStyle name="Prozent 2" xfId="9" xr:uid="{00000000-0005-0000-0000-000005000000}"/>
    <cellStyle name="Standard" xfId="0" builtinId="0"/>
    <cellStyle name="Standard 2" xfId="3" xr:uid="{00000000-0005-0000-0000-000007000000}"/>
    <cellStyle name="Standard 2 2" xfId="7" xr:uid="{00000000-0005-0000-0000-000008000000}"/>
    <cellStyle name="Standard 3" xfId="8" xr:uid="{00000000-0005-0000-0000-000009000000}"/>
    <cellStyle name="Währung" xfId="5" builtinId="4"/>
    <cellStyle name="Währung 2" xfId="11" xr:uid="{00000000-0005-0000-0000-00000B000000}"/>
  </cellStyles>
  <dxfs count="93">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dxf>
    <dxf>
      <fill>
        <patternFill>
          <bgColor rgb="FFB9DCFF"/>
        </patternFill>
      </fill>
    </dxf>
    <dxf>
      <fill>
        <patternFill>
          <bgColor rgb="FFB9DCFF"/>
        </patternFill>
      </fill>
    </dxf>
    <dxf>
      <fill>
        <patternFill>
          <bgColor rgb="FFB9DCFF"/>
        </patternFill>
      </fill>
    </dxf>
    <dxf>
      <fill>
        <patternFill>
          <bgColor rgb="FFB9DCFF"/>
        </patternFill>
      </fill>
    </dxf>
    <dxf>
      <fill>
        <patternFill>
          <bgColor rgb="FFB9DCFF"/>
        </patternFill>
      </fill>
    </dxf>
    <dxf>
      <fill>
        <patternFill>
          <bgColor rgb="FFB9DCFF"/>
        </patternFill>
      </fill>
    </dxf>
    <dxf>
      <fill>
        <patternFill>
          <bgColor rgb="FFB9DCFF"/>
        </patternFill>
      </fill>
    </dxf>
    <dxf>
      <fill>
        <patternFill>
          <bgColor rgb="FFB9DCFF"/>
        </patternFill>
      </fill>
    </dxf>
    <dxf>
      <fill>
        <patternFill>
          <bgColor rgb="FFB9DCFF"/>
        </patternFill>
      </fill>
    </dxf>
    <dxf>
      <font>
        <color theme="6"/>
      </font>
    </dxf>
    <dxf>
      <font>
        <color rgb="FF92D050"/>
      </font>
    </dxf>
    <dxf>
      <font>
        <color theme="7"/>
      </font>
    </dxf>
    <dxf>
      <font>
        <color rgb="FFFF0000"/>
      </font>
    </dxf>
    <dxf>
      <font>
        <color rgb="FF00B050"/>
      </font>
    </dxf>
    <dxf>
      <font>
        <color theme="6"/>
      </font>
    </dxf>
    <dxf>
      <font>
        <color rgb="FF92D050"/>
      </font>
    </dxf>
    <dxf>
      <font>
        <color theme="7"/>
      </font>
    </dxf>
    <dxf>
      <font>
        <color rgb="FFFF0000"/>
      </font>
    </dxf>
    <dxf>
      <font>
        <color rgb="FF00B050"/>
      </font>
    </dxf>
    <dxf>
      <fill>
        <patternFill patternType="solid">
          <bgColor theme="0"/>
        </patternFill>
      </fill>
    </dxf>
    <dxf>
      <font>
        <color theme="0"/>
      </font>
    </dxf>
    <dxf>
      <font>
        <color theme="6"/>
      </font>
    </dxf>
    <dxf>
      <font>
        <color rgb="FF92D050"/>
      </font>
    </dxf>
    <dxf>
      <font>
        <color theme="7"/>
      </font>
    </dxf>
    <dxf>
      <font>
        <color rgb="FFFF0000"/>
      </font>
    </dxf>
    <dxf>
      <font>
        <color rgb="FF00B050"/>
      </font>
    </dxf>
    <dxf>
      <font>
        <color theme="6"/>
      </font>
    </dxf>
    <dxf>
      <font>
        <color rgb="FF92D050"/>
      </font>
    </dxf>
    <dxf>
      <font>
        <color theme="7"/>
      </font>
    </dxf>
    <dxf>
      <font>
        <color rgb="FFFF0000"/>
      </font>
    </dxf>
    <dxf>
      <font>
        <color rgb="FF00B050"/>
      </font>
    </dxf>
    <dxf>
      <fill>
        <patternFill patternType="solid">
          <bgColor theme="0"/>
        </patternFill>
      </fill>
    </dxf>
    <dxf>
      <font>
        <color theme="0"/>
      </font>
    </dxf>
    <dxf>
      <font>
        <strike val="0"/>
        <color auto="1"/>
      </font>
    </dxf>
    <dxf>
      <fill>
        <patternFill>
          <bgColor rgb="FFFF0000"/>
        </patternFill>
      </fill>
    </dxf>
    <dxf>
      <fill>
        <patternFill>
          <bgColor rgb="FFFF0000"/>
        </patternFill>
      </fill>
    </dxf>
    <dxf>
      <fill>
        <patternFill>
          <bgColor rgb="FFFF0000"/>
        </patternFill>
      </fill>
    </dxf>
    <dxf>
      <font>
        <b val="0"/>
        <i/>
        <color theme="0" tint="-0.49998474074526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auto="1"/>
        </patternFill>
      </fill>
    </dxf>
    <dxf>
      <font>
        <color theme="0"/>
      </font>
      <fill>
        <patternFill patternType="none">
          <bgColor auto="1"/>
        </patternFill>
      </fill>
    </dxf>
    <dxf>
      <font>
        <color theme="0"/>
      </font>
      <fill>
        <patternFill>
          <bgColor theme="0"/>
        </patternFill>
      </fill>
    </dxf>
    <dxf>
      <font>
        <color theme="0"/>
      </font>
      <fill>
        <patternFill patternType="none">
          <bgColor auto="1"/>
        </patternFill>
      </fill>
    </dxf>
    <dxf>
      <font>
        <color theme="0"/>
      </font>
      <fill>
        <patternFill patternType="none">
          <bgColor auto="1"/>
        </patternFill>
      </fill>
    </dxf>
    <dxf>
      <fill>
        <patternFill>
          <bgColor rgb="FFFF0000"/>
        </patternFill>
      </fill>
    </dxf>
    <dxf>
      <font>
        <color theme="0"/>
      </font>
      <fill>
        <patternFill patternType="none">
          <bgColor auto="1"/>
        </patternFill>
      </fill>
    </dxf>
    <dxf>
      <font>
        <color theme="0"/>
      </font>
      <fill>
        <patternFill patternType="solid">
          <bgColor theme="0"/>
        </patternFill>
      </fill>
    </dxf>
    <dxf>
      <fill>
        <patternFill patternType="solid">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auto="1"/>
      </font>
      <fill>
        <patternFill patternType="none">
          <bgColor auto="1"/>
        </patternFill>
      </fill>
    </dxf>
    <dxf>
      <font>
        <color theme="0"/>
      </font>
      <fill>
        <patternFill>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0000"/>
        </patternFill>
      </fill>
    </dxf>
    <dxf>
      <font>
        <color theme="0"/>
      </font>
      <fill>
        <patternFill patternType="none">
          <bgColor auto="1"/>
        </patternFill>
      </fill>
    </dxf>
    <dxf>
      <fill>
        <patternFill>
          <bgColor rgb="FFFF0000"/>
        </patternFill>
      </fill>
    </dxf>
    <dxf>
      <font>
        <color theme="0"/>
      </font>
      <fill>
        <patternFill patternType="none">
          <bgColor auto="1"/>
        </patternFill>
      </fill>
    </dxf>
    <dxf>
      <fill>
        <patternFill>
          <bgColor rgb="FFFF0000"/>
        </patternFill>
      </fill>
    </dxf>
    <dxf>
      <font>
        <color theme="0"/>
      </font>
      <fill>
        <patternFill patternType="none">
          <bgColor auto="1"/>
        </patternFill>
      </fill>
    </dxf>
    <dxf>
      <fill>
        <patternFill>
          <bgColor rgb="FFFF0000"/>
        </patternFill>
      </fill>
    </dxf>
    <dxf>
      <font>
        <color theme="0"/>
      </font>
      <fill>
        <patternFill>
          <bgColor theme="0"/>
        </patternFill>
      </fill>
    </dxf>
    <dxf>
      <font>
        <color theme="0"/>
      </font>
      <fill>
        <patternFill patternType="none">
          <bgColor auto="1"/>
        </patternFill>
      </fill>
    </dxf>
    <dxf>
      <fill>
        <patternFill>
          <bgColor theme="0"/>
        </patternFill>
      </fill>
    </dxf>
    <dxf>
      <font>
        <color theme="0"/>
      </font>
      <fill>
        <patternFill patternType="none">
          <bgColor auto="1"/>
        </patternFill>
      </fill>
    </dxf>
  </dxfs>
  <tableStyles count="0" defaultTableStyle="TableStyleMedium2" defaultPivotStyle="PivotStyleLight16"/>
  <colors>
    <mruColors>
      <color rgb="FFB9DCFF"/>
      <color rgb="FF6A6A6A"/>
      <color rgb="FFA1D323"/>
      <color rgb="FF1F711F"/>
      <color rgb="FF99CCFF"/>
      <color rgb="FFABD5FF"/>
      <color rgb="FF91E5E3"/>
      <color rgb="FFCCFFFF"/>
      <color rgb="FFCCEC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984820904327694E-2"/>
          <c:y val="0.22091251231826667"/>
          <c:w val="0.92244565616472995"/>
          <c:h val="0.66058187008148905"/>
        </c:manualLayout>
      </c:layout>
      <c:barChart>
        <c:barDir val="col"/>
        <c:grouping val="stacked"/>
        <c:varyColors val="0"/>
        <c:ser>
          <c:idx val="3"/>
          <c:order val="0"/>
          <c:tx>
            <c:strRef>
              <c:f>Ergebnisse_LZK!$B$19</c:f>
              <c:strCache>
                <c:ptCount val="1"/>
                <c:pt idx="0">
                  <c:v>Wertminderung</c:v>
                </c:pt>
              </c:strCache>
            </c:strRef>
          </c:tx>
          <c:spPr>
            <a:solidFill>
              <a:srgbClr val="5B7ECB"/>
            </a:solidFill>
            <a:ln>
              <a:noFill/>
            </a:ln>
            <a:effectLst/>
          </c:spPr>
          <c:invertIfNegative val="0"/>
          <c:cat>
            <c:strRef>
              <c:f>Ergebnisse_LZK!$D$17:$H$17</c:f>
              <c:strCache>
                <c:ptCount val="5"/>
                <c:pt idx="0">
                  <c:v>VW ID.3 Vollelektrisch (BEV) Strom</c:v>
                </c:pt>
                <c:pt idx="1">
                  <c:v>VW Golf 2.0 TDI Verbrenner Diesel</c:v>
                </c:pt>
                <c:pt idx="2">
                  <c:v>Opel Astra 1.5 Diesel Verbrenner Diesel</c:v>
                </c:pt>
                <c:pt idx="3">
                  <c:v>Kia Niro 1.6 GDI Plug-in-Hybrid (PHEV) Benzin</c:v>
                </c:pt>
                <c:pt idx="4">
                  <c:v>Renault Mégane E-TECH Plug-in-Hybrid (PHEV) Benzin</c:v>
                </c:pt>
              </c:strCache>
            </c:strRef>
          </c:cat>
          <c:val>
            <c:numRef>
              <c:f>Ergebnisse_LZK!$D$19:$H$19</c:f>
              <c:numCache>
                <c:formatCode>#,##0</c:formatCode>
                <c:ptCount val="5"/>
                <c:pt idx="0">
                  <c:v>27486.248054609045</c:v>
                </c:pt>
                <c:pt idx="1">
                  <c:v>22604.297533086261</c:v>
                </c:pt>
                <c:pt idx="2">
                  <c:v>23001.497649482342</c:v>
                </c:pt>
                <c:pt idx="3">
                  <c:v>26496.858673767885</c:v>
                </c:pt>
                <c:pt idx="4">
                  <c:v>27442.917132820381</c:v>
                </c:pt>
              </c:numCache>
            </c:numRef>
          </c:val>
          <c:extLst>
            <c:ext xmlns:c16="http://schemas.microsoft.com/office/drawing/2014/chart" uri="{C3380CC4-5D6E-409C-BE32-E72D297353CC}">
              <c16:uniqueId val="{00000001-8C63-4053-9ECB-EF77F1EAFFE4}"/>
            </c:ext>
          </c:extLst>
        </c:ser>
        <c:ser>
          <c:idx val="5"/>
          <c:order val="1"/>
          <c:tx>
            <c:strRef>
              <c:f>Ergebnisse_LZK!$B$20</c:f>
              <c:strCache>
                <c:ptCount val="1"/>
                <c:pt idx="0">
                  <c:v>Energiekosten</c:v>
                </c:pt>
              </c:strCache>
            </c:strRef>
          </c:tx>
          <c:spPr>
            <a:solidFill>
              <a:srgbClr val="EE8E00"/>
            </a:solidFill>
            <a:ln>
              <a:noFill/>
            </a:ln>
            <a:effectLst/>
          </c:spPr>
          <c:invertIfNegative val="0"/>
          <c:cat>
            <c:strRef>
              <c:f>Ergebnisse_LZK!$D$17:$H$17</c:f>
              <c:strCache>
                <c:ptCount val="5"/>
                <c:pt idx="0">
                  <c:v>VW ID.3 Vollelektrisch (BEV) Strom</c:v>
                </c:pt>
                <c:pt idx="1">
                  <c:v>VW Golf 2.0 TDI Verbrenner Diesel</c:v>
                </c:pt>
                <c:pt idx="2">
                  <c:v>Opel Astra 1.5 Diesel Verbrenner Diesel</c:v>
                </c:pt>
                <c:pt idx="3">
                  <c:v>Kia Niro 1.6 GDI Plug-in-Hybrid (PHEV) Benzin</c:v>
                </c:pt>
                <c:pt idx="4">
                  <c:v>Renault Mégane E-TECH Plug-in-Hybrid (PHEV) Benzin</c:v>
                </c:pt>
              </c:strCache>
            </c:strRef>
          </c:cat>
          <c:val>
            <c:numRef>
              <c:f>Ergebnisse_LZK!$D$20:$H$20</c:f>
              <c:numCache>
                <c:formatCode>#,##0</c:formatCode>
                <c:ptCount val="5"/>
                <c:pt idx="0">
                  <c:v>10799.6</c:v>
                </c:pt>
                <c:pt idx="1">
                  <c:v>10451.699999999999</c:v>
                </c:pt>
                <c:pt idx="2">
                  <c:v>9987.18</c:v>
                </c:pt>
                <c:pt idx="3">
                  <c:v>11200.475799022584</c:v>
                </c:pt>
                <c:pt idx="4">
                  <c:v>10906.028397128664</c:v>
                </c:pt>
              </c:numCache>
            </c:numRef>
          </c:val>
          <c:extLst>
            <c:ext xmlns:c16="http://schemas.microsoft.com/office/drawing/2014/chart" uri="{C3380CC4-5D6E-409C-BE32-E72D297353CC}">
              <c16:uniqueId val="{00000003-8C63-4053-9ECB-EF77F1EAFFE4}"/>
            </c:ext>
          </c:extLst>
        </c:ser>
        <c:ser>
          <c:idx val="0"/>
          <c:order val="2"/>
          <c:tx>
            <c:strRef>
              <c:f>Ergebnisse_LZK!$B$23</c:f>
              <c:strCache>
                <c:ptCount val="1"/>
                <c:pt idx="0">
                  <c:v>Externe Umweltkosten Herstellung (Batterie)</c:v>
                </c:pt>
              </c:strCache>
            </c:strRef>
          </c:tx>
          <c:spPr>
            <a:solidFill>
              <a:schemeClr val="tx2">
                <a:lumMod val="40000"/>
                <a:lumOff val="60000"/>
              </a:schemeClr>
            </a:solidFill>
            <a:ln>
              <a:noFill/>
            </a:ln>
            <a:effectLst/>
          </c:spPr>
          <c:invertIfNegative val="0"/>
          <c:cat>
            <c:strRef>
              <c:f>Ergebnisse_LZK!$D$17:$H$17</c:f>
              <c:strCache>
                <c:ptCount val="5"/>
                <c:pt idx="0">
                  <c:v>VW ID.3 Vollelektrisch (BEV) Strom</c:v>
                </c:pt>
                <c:pt idx="1">
                  <c:v>VW Golf 2.0 TDI Verbrenner Diesel</c:v>
                </c:pt>
                <c:pt idx="2">
                  <c:v>Opel Astra 1.5 Diesel Verbrenner Diesel</c:v>
                </c:pt>
                <c:pt idx="3">
                  <c:v>Kia Niro 1.6 GDI Plug-in-Hybrid (PHEV) Benzin</c:v>
                </c:pt>
                <c:pt idx="4">
                  <c:v>Renault Mégane E-TECH Plug-in-Hybrid (PHEV) Benzin</c:v>
                </c:pt>
              </c:strCache>
            </c:strRef>
          </c:cat>
          <c:val>
            <c:numRef>
              <c:f>Ergebnisse_LZK!$D$23:$H$23</c:f>
              <c:numCache>
                <c:formatCode>#,##0</c:formatCode>
                <c:ptCount val="5"/>
                <c:pt idx="0">
                  <c:v>1657.0909090909088</c:v>
                </c:pt>
                <c:pt idx="1">
                  <c:v>0</c:v>
                </c:pt>
                <c:pt idx="2">
                  <c:v>0</c:v>
                </c:pt>
                <c:pt idx="3">
                  <c:v>320.72727272727275</c:v>
                </c:pt>
                <c:pt idx="4">
                  <c:v>261.92727272727268</c:v>
                </c:pt>
              </c:numCache>
            </c:numRef>
          </c:val>
          <c:extLst>
            <c:ext xmlns:c16="http://schemas.microsoft.com/office/drawing/2014/chart" uri="{C3380CC4-5D6E-409C-BE32-E72D297353CC}">
              <c16:uniqueId val="{00000005-8C63-4053-9ECB-EF77F1EAFFE4}"/>
            </c:ext>
          </c:extLst>
        </c:ser>
        <c:ser>
          <c:idx val="7"/>
          <c:order val="3"/>
          <c:tx>
            <c:strRef>
              <c:f>Ergebnisse_LZK!$B$21</c:f>
              <c:strCache>
                <c:ptCount val="1"/>
                <c:pt idx="0">
                  <c:v>Externe Umweltkosten (Betrieb)</c:v>
                </c:pt>
              </c:strCache>
            </c:strRef>
          </c:tx>
          <c:spPr>
            <a:solidFill>
              <a:srgbClr val="A1D323"/>
            </a:solidFill>
            <a:ln>
              <a:noFill/>
            </a:ln>
            <a:effectLst/>
          </c:spPr>
          <c:invertIfNegative val="0"/>
          <c:cat>
            <c:strRef>
              <c:f>Ergebnisse_LZK!$D$17:$H$17</c:f>
              <c:strCache>
                <c:ptCount val="5"/>
                <c:pt idx="0">
                  <c:v>VW ID.3 Vollelektrisch (BEV) Strom</c:v>
                </c:pt>
                <c:pt idx="1">
                  <c:v>VW Golf 2.0 TDI Verbrenner Diesel</c:v>
                </c:pt>
                <c:pt idx="2">
                  <c:v>Opel Astra 1.5 Diesel Verbrenner Diesel</c:v>
                </c:pt>
                <c:pt idx="3">
                  <c:v>Kia Niro 1.6 GDI Plug-in-Hybrid (PHEV) Benzin</c:v>
                </c:pt>
                <c:pt idx="4">
                  <c:v>Renault Mégane E-TECH Plug-in-Hybrid (PHEV) Benzin</c:v>
                </c:pt>
              </c:strCache>
            </c:strRef>
          </c:cat>
          <c:val>
            <c:numRef>
              <c:f>Ergebnisse_LZK!$D$21:$H$21</c:f>
              <c:numCache>
                <c:formatCode>#,##0</c:formatCode>
                <c:ptCount val="5"/>
                <c:pt idx="0">
                  <c:v>0</c:v>
                </c:pt>
                <c:pt idx="1">
                  <c:v>8299.48</c:v>
                </c:pt>
                <c:pt idx="2">
                  <c:v>8065.0500000000011</c:v>
                </c:pt>
                <c:pt idx="3">
                  <c:v>4878.4174552688337</c:v>
                </c:pt>
                <c:pt idx="4">
                  <c:v>4169.4362185872615</c:v>
                </c:pt>
              </c:numCache>
            </c:numRef>
          </c:val>
          <c:extLst>
            <c:ext xmlns:c16="http://schemas.microsoft.com/office/drawing/2014/chart" uri="{C3380CC4-5D6E-409C-BE32-E72D297353CC}">
              <c16:uniqueId val="{00000004-8C63-4053-9ECB-EF77F1EAFFE4}"/>
            </c:ext>
          </c:extLst>
        </c:ser>
        <c:ser>
          <c:idx val="1"/>
          <c:order val="4"/>
          <c:tx>
            <c:strRef>
              <c:f>Ergebnisse_LZK!$B$22</c:f>
              <c:strCache>
                <c:ptCount val="1"/>
                <c:pt idx="0">
                  <c:v>Externe Umweltkosten THG (Vorkette)</c:v>
                </c:pt>
              </c:strCache>
            </c:strRef>
          </c:tx>
          <c:spPr>
            <a:solidFill>
              <a:srgbClr val="1F711F"/>
            </a:solidFill>
            <a:ln>
              <a:noFill/>
            </a:ln>
            <a:effectLst/>
          </c:spPr>
          <c:invertIfNegative val="0"/>
          <c:cat>
            <c:strRef>
              <c:f>Ergebnisse_LZK!$D$17:$H$17</c:f>
              <c:strCache>
                <c:ptCount val="5"/>
                <c:pt idx="0">
                  <c:v>VW ID.3 Vollelektrisch (BEV) Strom</c:v>
                </c:pt>
                <c:pt idx="1">
                  <c:v>VW Golf 2.0 TDI Verbrenner Diesel</c:v>
                </c:pt>
                <c:pt idx="2">
                  <c:v>Opel Astra 1.5 Diesel Verbrenner Diesel</c:v>
                </c:pt>
                <c:pt idx="3">
                  <c:v>Kia Niro 1.6 GDI Plug-in-Hybrid (PHEV) Benzin</c:v>
                </c:pt>
                <c:pt idx="4">
                  <c:v>Renault Mégane E-TECH Plug-in-Hybrid (PHEV) Benzin</c:v>
                </c:pt>
              </c:strCache>
            </c:strRef>
          </c:cat>
          <c:val>
            <c:numRef>
              <c:f>Ergebnisse_LZK!$D$22:$H$22</c:f>
              <c:numCache>
                <c:formatCode>#,##0</c:formatCode>
                <c:ptCount val="5"/>
                <c:pt idx="0">
                  <c:v>3658.7129599999989</c:v>
                </c:pt>
                <c:pt idx="1">
                  <c:v>1785.34944</c:v>
                </c:pt>
                <c:pt idx="2">
                  <c:v>1706.0005760000001</c:v>
                </c:pt>
                <c:pt idx="3">
                  <c:v>2313.8745061867435</c:v>
                </c:pt>
                <c:pt idx="4">
                  <c:v>2425.2141239462831</c:v>
                </c:pt>
              </c:numCache>
            </c:numRef>
          </c:val>
          <c:extLst>
            <c:ext xmlns:c16="http://schemas.microsoft.com/office/drawing/2014/chart" uri="{C3380CC4-5D6E-409C-BE32-E72D297353CC}">
              <c16:uniqueId val="{00000006-8C63-4053-9ECB-EF77F1EAFFE4}"/>
            </c:ext>
          </c:extLst>
        </c:ser>
        <c:dLbls>
          <c:showLegendKey val="0"/>
          <c:showVal val="0"/>
          <c:showCatName val="0"/>
          <c:showSerName val="0"/>
          <c:showPercent val="0"/>
          <c:showBubbleSize val="0"/>
        </c:dLbls>
        <c:gapWidth val="120"/>
        <c:overlap val="100"/>
        <c:axId val="161944320"/>
        <c:axId val="161945856"/>
      </c:barChart>
      <c:catAx>
        <c:axId val="161944320"/>
        <c:scaling>
          <c:orientation val="minMax"/>
        </c:scaling>
        <c:delete val="0"/>
        <c:axPos val="b"/>
        <c:numFmt formatCode="General" sourceLinked="1"/>
        <c:majorTickMark val="none"/>
        <c:minorTickMark val="none"/>
        <c:tickLblPos val="nextTo"/>
        <c:spPr>
          <a:noFill/>
          <a:ln w="9525" cap="flat" cmpd="sng" algn="ctr">
            <a:no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61945856"/>
        <c:crosses val="autoZero"/>
        <c:auto val="1"/>
        <c:lblAlgn val="ctr"/>
        <c:lblOffset val="100"/>
        <c:noMultiLvlLbl val="0"/>
      </c:catAx>
      <c:valAx>
        <c:axId val="161945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EUR</a:t>
                </a:r>
              </a:p>
            </c:rich>
          </c:tx>
          <c:layout>
            <c:manualLayout>
              <c:xMode val="edge"/>
              <c:yMode val="edge"/>
              <c:x val="7.0356023521323278E-3"/>
              <c:y val="0.13304612594831647"/>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61944320"/>
        <c:crosses val="autoZero"/>
        <c:crossBetween val="between"/>
      </c:valAx>
      <c:spPr>
        <a:noFill/>
        <a:ln>
          <a:noFill/>
        </a:ln>
        <a:effectLst/>
      </c:spPr>
    </c:plotArea>
    <c:legend>
      <c:legendPos val="t"/>
      <c:layout>
        <c:manualLayout>
          <c:xMode val="edge"/>
          <c:yMode val="edge"/>
          <c:x val="4.8432854771855237E-2"/>
          <c:y val="1.720429719091306E-2"/>
          <c:w val="0.91569669648207996"/>
          <c:h val="0.1838163263447619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extLst/>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29" r="0.70000000000000029" t="0.78740157499999996"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3984820904327694E-2"/>
          <c:y val="0.22091251231826667"/>
          <c:w val="0.92442883781817808"/>
          <c:h val="0.65499605804406413"/>
        </c:manualLayout>
      </c:layout>
      <c:barChart>
        <c:barDir val="col"/>
        <c:grouping val="stacked"/>
        <c:varyColors val="0"/>
        <c:ser>
          <c:idx val="4"/>
          <c:order val="0"/>
          <c:tx>
            <c:strRef>
              <c:f>Ergebnisse_Umweltkosten!$B$21</c:f>
              <c:strCache>
                <c:ptCount val="1"/>
                <c:pt idx="0">
                  <c:v>Externe Umweltkosten Herstellung (Batterie)</c:v>
                </c:pt>
              </c:strCache>
            </c:strRef>
          </c:tx>
          <c:spPr>
            <a:solidFill>
              <a:schemeClr val="tx2">
                <a:lumMod val="40000"/>
                <a:lumOff val="60000"/>
              </a:schemeClr>
            </a:solidFill>
            <a:ln>
              <a:noFill/>
            </a:ln>
            <a:effectLst/>
          </c:spPr>
          <c:invertIfNegative val="0"/>
          <c:cat>
            <c:strRef>
              <c:f>(Ergebnisse_Umweltkosten!$D$17,Ergebnisse_Umweltkosten!$E$17,Ergebnisse_Umweltkosten!$F$17,Ergebnisse_Umweltkosten!$G$17,Ergebnisse_Umweltkosten!$H$17)</c:f>
              <c:strCache>
                <c:ptCount val="5"/>
                <c:pt idx="0">
                  <c:v>VW ID.3 Vollelektrisch (BEV) Strom</c:v>
                </c:pt>
                <c:pt idx="1">
                  <c:v>VW Golf 2.0 TDI Verbrenner Diesel</c:v>
                </c:pt>
                <c:pt idx="2">
                  <c:v>Opel Astra 1.5 Diesel Verbrenner Diesel</c:v>
                </c:pt>
                <c:pt idx="3">
                  <c:v>Kia Niro 1.6 GDI Plug-in-Hybrid (PHEV) Benzin</c:v>
                </c:pt>
                <c:pt idx="4">
                  <c:v>Renault Mégane E-TECH Plug-in-Hybrid (PHEV) Benzin</c:v>
                </c:pt>
              </c:strCache>
            </c:strRef>
          </c:cat>
          <c:val>
            <c:numRef>
              <c:f>(Ergebnisse_Umweltkosten!$D$21,Ergebnisse_Umweltkosten!$E$21,Ergebnisse_Umweltkosten!$F$21,Ergebnisse_Umweltkosten!$G$21,Ergebnisse_Umweltkosten!$H$21)</c:f>
              <c:numCache>
                <c:formatCode>#,##0</c:formatCode>
                <c:ptCount val="5"/>
                <c:pt idx="0">
                  <c:v>1657.0909090909088</c:v>
                </c:pt>
                <c:pt idx="1">
                  <c:v>0</c:v>
                </c:pt>
                <c:pt idx="2">
                  <c:v>0</c:v>
                </c:pt>
                <c:pt idx="3">
                  <c:v>320.72727272727275</c:v>
                </c:pt>
                <c:pt idx="4">
                  <c:v>261.92727272727268</c:v>
                </c:pt>
              </c:numCache>
            </c:numRef>
          </c:val>
          <c:extLst>
            <c:ext xmlns:c16="http://schemas.microsoft.com/office/drawing/2014/chart" uri="{C3380CC4-5D6E-409C-BE32-E72D297353CC}">
              <c16:uniqueId val="{00000002-8C63-4053-9ECB-EF77F1EAFFE4}"/>
            </c:ext>
          </c:extLst>
        </c:ser>
        <c:ser>
          <c:idx val="6"/>
          <c:order val="1"/>
          <c:tx>
            <c:strRef>
              <c:f>Ergebnisse_Umweltkosten!$B$18</c:f>
              <c:strCache>
                <c:ptCount val="1"/>
                <c:pt idx="0">
                  <c:v>Externe Umweltkosten THG (Betrieb)</c:v>
                </c:pt>
              </c:strCache>
            </c:strRef>
          </c:tx>
          <c:spPr>
            <a:solidFill>
              <a:srgbClr val="A1D323"/>
            </a:solidFill>
            <a:ln>
              <a:noFill/>
            </a:ln>
            <a:effectLst/>
          </c:spPr>
          <c:invertIfNegative val="0"/>
          <c:cat>
            <c:strRef>
              <c:f>(Ergebnisse_Umweltkosten!$D$17,Ergebnisse_Umweltkosten!$E$17,Ergebnisse_Umweltkosten!$F$17,Ergebnisse_Umweltkosten!$G$17,Ergebnisse_Umweltkosten!$H$17)</c:f>
              <c:strCache>
                <c:ptCount val="5"/>
                <c:pt idx="0">
                  <c:v>VW ID.3 Vollelektrisch (BEV) Strom</c:v>
                </c:pt>
                <c:pt idx="1">
                  <c:v>VW Golf 2.0 TDI Verbrenner Diesel</c:v>
                </c:pt>
                <c:pt idx="2">
                  <c:v>Opel Astra 1.5 Diesel Verbrenner Diesel</c:v>
                </c:pt>
                <c:pt idx="3">
                  <c:v>Kia Niro 1.6 GDI Plug-in-Hybrid (PHEV) Benzin</c:v>
                </c:pt>
                <c:pt idx="4">
                  <c:v>Renault Mégane E-TECH Plug-in-Hybrid (PHEV) Benzin</c:v>
                </c:pt>
              </c:strCache>
            </c:strRef>
          </c:cat>
          <c:val>
            <c:numRef>
              <c:f>(Ergebnisse_Umweltkosten!$D$18,Ergebnisse_Umweltkosten!$E$18,Ergebnisse_Umweltkosten!$F$18,Ergebnisse_Umweltkosten!$G$18,Ergebnisse_Umweltkosten!$H$18)</c:f>
              <c:numCache>
                <c:formatCode>#,##0</c:formatCode>
                <c:ptCount val="5"/>
                <c:pt idx="0">
                  <c:v>0</c:v>
                </c:pt>
                <c:pt idx="1">
                  <c:v>8190</c:v>
                </c:pt>
                <c:pt idx="2">
                  <c:v>7910.0000000000009</c:v>
                </c:pt>
                <c:pt idx="3">
                  <c:v>4828.0874552688338</c:v>
                </c:pt>
                <c:pt idx="4">
                  <c:v>4139.7562185872612</c:v>
                </c:pt>
              </c:numCache>
            </c:numRef>
          </c:val>
          <c:extLst>
            <c:ext xmlns:c16="http://schemas.microsoft.com/office/drawing/2014/chart" uri="{C3380CC4-5D6E-409C-BE32-E72D297353CC}">
              <c16:uniqueId val="{00000000-8C63-4053-9ECB-EF77F1EAFFE4}"/>
            </c:ext>
          </c:extLst>
        </c:ser>
        <c:ser>
          <c:idx val="0"/>
          <c:order val="2"/>
          <c:tx>
            <c:strRef>
              <c:f>Ergebnisse_Umweltkosten!$B$19</c:f>
              <c:strCache>
                <c:ptCount val="1"/>
                <c:pt idx="0">
                  <c:v>Externe Umweltk. Luftschadstoffe (Betrieb)</c:v>
                </c:pt>
              </c:strCache>
            </c:strRef>
          </c:tx>
          <c:spPr>
            <a:solidFill>
              <a:srgbClr val="00B050"/>
            </a:solidFill>
          </c:spPr>
          <c:invertIfNegative val="0"/>
          <c:val>
            <c:numRef>
              <c:f>Ergebnisse_Umweltkosten!$D$19:$H$19</c:f>
              <c:numCache>
                <c:formatCode>#,##0</c:formatCode>
                <c:ptCount val="5"/>
                <c:pt idx="0">
                  <c:v>0</c:v>
                </c:pt>
                <c:pt idx="1">
                  <c:v>109.47999999999999</c:v>
                </c:pt>
                <c:pt idx="2">
                  <c:v>155.04999999999998</c:v>
                </c:pt>
                <c:pt idx="3">
                  <c:v>50.330000000000005</c:v>
                </c:pt>
                <c:pt idx="4">
                  <c:v>29.68</c:v>
                </c:pt>
              </c:numCache>
            </c:numRef>
          </c:val>
          <c:extLst>
            <c:ext xmlns:c16="http://schemas.microsoft.com/office/drawing/2014/chart" uri="{C3380CC4-5D6E-409C-BE32-E72D297353CC}">
              <c16:uniqueId val="{00000000-E898-40A7-A0A7-CC678C4EC021}"/>
            </c:ext>
          </c:extLst>
        </c:ser>
        <c:ser>
          <c:idx val="3"/>
          <c:order val="3"/>
          <c:tx>
            <c:strRef>
              <c:f>Ergebnisse_Umweltkosten!$B$20</c:f>
              <c:strCache>
                <c:ptCount val="1"/>
                <c:pt idx="0">
                  <c:v>Externe Umweltkosten THG (Vorkette)</c:v>
                </c:pt>
              </c:strCache>
            </c:strRef>
          </c:tx>
          <c:spPr>
            <a:solidFill>
              <a:srgbClr val="1F711F"/>
            </a:solidFill>
            <a:ln>
              <a:noFill/>
            </a:ln>
            <a:effectLst/>
          </c:spPr>
          <c:invertIfNegative val="0"/>
          <c:cat>
            <c:strRef>
              <c:f>(Ergebnisse_Umweltkosten!$D$17,Ergebnisse_Umweltkosten!$E$17,Ergebnisse_Umweltkosten!$F$17,Ergebnisse_Umweltkosten!$G$17,Ergebnisse_Umweltkosten!$H$17)</c:f>
              <c:strCache>
                <c:ptCount val="5"/>
                <c:pt idx="0">
                  <c:v>VW ID.3 Vollelektrisch (BEV) Strom</c:v>
                </c:pt>
                <c:pt idx="1">
                  <c:v>VW Golf 2.0 TDI Verbrenner Diesel</c:v>
                </c:pt>
                <c:pt idx="2">
                  <c:v>Opel Astra 1.5 Diesel Verbrenner Diesel</c:v>
                </c:pt>
                <c:pt idx="3">
                  <c:v>Kia Niro 1.6 GDI Plug-in-Hybrid (PHEV) Benzin</c:v>
                </c:pt>
                <c:pt idx="4">
                  <c:v>Renault Mégane E-TECH Plug-in-Hybrid (PHEV) Benzin</c:v>
                </c:pt>
              </c:strCache>
            </c:strRef>
          </c:cat>
          <c:val>
            <c:numRef>
              <c:f>(Ergebnisse_Umweltkosten!$D$20,Ergebnisse_Umweltkosten!$E$20,Ergebnisse_Umweltkosten!$F$20,Ergebnisse_Umweltkosten!$G$20,Ergebnisse_Umweltkosten!$H$20)</c:f>
              <c:numCache>
                <c:formatCode>#,##0</c:formatCode>
                <c:ptCount val="5"/>
                <c:pt idx="0">
                  <c:v>3658.7129599999989</c:v>
                </c:pt>
                <c:pt idx="1">
                  <c:v>1785.34944</c:v>
                </c:pt>
                <c:pt idx="2">
                  <c:v>1706.0005760000001</c:v>
                </c:pt>
                <c:pt idx="3">
                  <c:v>2313.8745061867435</c:v>
                </c:pt>
                <c:pt idx="4">
                  <c:v>2425.2141239462831</c:v>
                </c:pt>
              </c:numCache>
            </c:numRef>
          </c:val>
          <c:extLst>
            <c:ext xmlns:c16="http://schemas.microsoft.com/office/drawing/2014/chart" uri="{C3380CC4-5D6E-409C-BE32-E72D297353CC}">
              <c16:uniqueId val="{00000001-8C63-4053-9ECB-EF77F1EAFFE4}"/>
            </c:ext>
          </c:extLst>
        </c:ser>
        <c:dLbls>
          <c:showLegendKey val="0"/>
          <c:showVal val="0"/>
          <c:showCatName val="0"/>
          <c:showSerName val="0"/>
          <c:showPercent val="0"/>
          <c:showBubbleSize val="0"/>
        </c:dLbls>
        <c:gapWidth val="120"/>
        <c:overlap val="100"/>
        <c:axId val="162166272"/>
        <c:axId val="162167808"/>
      </c:barChart>
      <c:catAx>
        <c:axId val="162166272"/>
        <c:scaling>
          <c:orientation val="minMax"/>
        </c:scaling>
        <c:delete val="0"/>
        <c:axPos val="b"/>
        <c:numFmt formatCode="General" sourceLinked="1"/>
        <c:majorTickMark val="none"/>
        <c:minorTickMark val="none"/>
        <c:tickLblPos val="nextTo"/>
        <c:spPr>
          <a:noFill/>
          <a:ln w="9525" cap="flat" cmpd="sng" algn="ctr">
            <a:no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62167808"/>
        <c:crosses val="autoZero"/>
        <c:auto val="1"/>
        <c:lblAlgn val="ctr"/>
        <c:lblOffset val="100"/>
        <c:noMultiLvlLbl val="0"/>
      </c:catAx>
      <c:valAx>
        <c:axId val="162167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EUR</a:t>
                </a:r>
              </a:p>
            </c:rich>
          </c:tx>
          <c:layout>
            <c:manualLayout>
              <c:xMode val="edge"/>
              <c:yMode val="edge"/>
              <c:x val="7.0356023521323278E-3"/>
              <c:y val="0.13304612594831647"/>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62166272"/>
        <c:crosses val="autoZero"/>
        <c:crossBetween val="between"/>
      </c:valAx>
      <c:spPr>
        <a:noFill/>
        <a:ln>
          <a:noFill/>
        </a:ln>
        <a:effectLst/>
      </c:spPr>
    </c:plotArea>
    <c:legend>
      <c:legendPos val="t"/>
      <c:layout>
        <c:manualLayout>
          <c:xMode val="edge"/>
          <c:yMode val="edge"/>
          <c:x val="4.8432854771855237E-2"/>
          <c:y val="1.720429719091306E-2"/>
          <c:w val="0.87426749299318529"/>
          <c:h val="9.112262726689955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extLst/>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29" r="0.70000000000000029" t="0.78740157499999996" header="0.30000000000000016" footer="0.30000000000000016"/>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Ergebnisse_LZK!A1"/><Relationship Id="rId13" Type="http://schemas.openxmlformats.org/officeDocument/2006/relationships/image" Target="../media/image3.png"/><Relationship Id="rId3" Type="http://schemas.openxmlformats.org/officeDocument/2006/relationships/hyperlink" Target="#Erg.Pkw_1!A1"/><Relationship Id="rId7" Type="http://schemas.openxmlformats.org/officeDocument/2006/relationships/hyperlink" Target="#Erg.Pkw_5!A1"/><Relationship Id="rId12" Type="http://schemas.openxmlformats.org/officeDocument/2006/relationships/image" Target="../media/image2.png"/><Relationship Id="rId2" Type="http://schemas.openxmlformats.org/officeDocument/2006/relationships/hyperlink" Target="#Eingabe_Angebotswerte!A1"/><Relationship Id="rId1" Type="http://schemas.openxmlformats.org/officeDocument/2006/relationships/hyperlink" Target="#Input_Projekt!A1"/><Relationship Id="rId6" Type="http://schemas.openxmlformats.org/officeDocument/2006/relationships/hyperlink" Target="#Erg.Pkw_4!A1"/><Relationship Id="rId11" Type="http://schemas.openxmlformats.org/officeDocument/2006/relationships/image" Target="../media/image1.wmf"/><Relationship Id="rId5" Type="http://schemas.openxmlformats.org/officeDocument/2006/relationships/hyperlink" Target="#Erg.Pkw_3!A1"/><Relationship Id="rId10" Type="http://schemas.openxmlformats.org/officeDocument/2006/relationships/hyperlink" Target="#Grunddaten!A1"/><Relationship Id="rId4" Type="http://schemas.openxmlformats.org/officeDocument/2006/relationships/hyperlink" Target="#Erg.Pkw_2!A1"/><Relationship Id="rId9" Type="http://schemas.openxmlformats.org/officeDocument/2006/relationships/hyperlink" Target="#Ergebnisse_Umweltkosten!A1"/><Relationship Id="rId1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hyperlink" Target="#Anleitung!A1"/></Relationships>
</file>

<file path=xl/drawings/_rels/drawing11.xml.rels><?xml version="1.0" encoding="UTF-8" standalone="yes"?>
<Relationships xmlns="http://schemas.openxmlformats.org/package/2006/relationships"><Relationship Id="rId1" Type="http://schemas.openxmlformats.org/officeDocument/2006/relationships/hyperlink" Target="#Anleitung!A1"/></Relationships>
</file>

<file path=xl/drawings/_rels/drawing12.xml.rels><?xml version="1.0" encoding="UTF-8" standalone="yes"?>
<Relationships xmlns="http://schemas.openxmlformats.org/package/2006/relationships"><Relationship Id="rId1" Type="http://schemas.openxmlformats.org/officeDocument/2006/relationships/hyperlink" Target="#Anleitung!A1"/></Relationships>
</file>

<file path=xl/drawings/_rels/drawing14.xml.rels><?xml version="1.0" encoding="UTF-8" standalone="yes"?>
<Relationships xmlns="http://schemas.openxmlformats.org/package/2006/relationships"><Relationship Id="rId2" Type="http://schemas.openxmlformats.org/officeDocument/2006/relationships/hyperlink" Target="#Anleitung!A1"/><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hyperlink" Target="#Anleitung!A1"/></Relationships>
</file>

<file path=xl/drawings/_rels/drawing2.xml.rels><?xml version="1.0" encoding="UTF-8" standalone="yes"?>
<Relationships xmlns="http://schemas.openxmlformats.org/package/2006/relationships"><Relationship Id="rId1" Type="http://schemas.openxmlformats.org/officeDocument/2006/relationships/hyperlink" Target="#Anleitung!A1"/></Relationships>
</file>

<file path=xl/drawings/_rels/drawing3.xml.rels><?xml version="1.0" encoding="UTF-8" standalone="yes"?>
<Relationships xmlns="http://schemas.openxmlformats.org/package/2006/relationships"><Relationship Id="rId2" Type="http://schemas.openxmlformats.org/officeDocument/2006/relationships/hyperlink" Target="#Anleitung!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hyperlink" Target="#Anleitung!A1"/><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hyperlink" Target="#Anleitung!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hyperlink" Target="#Anleitung!A1"/></Relationships>
</file>

<file path=xl/drawings/_rels/drawing7.xml.rels><?xml version="1.0" encoding="UTF-8" standalone="yes"?>
<Relationships xmlns="http://schemas.openxmlformats.org/package/2006/relationships"><Relationship Id="rId1" Type="http://schemas.openxmlformats.org/officeDocument/2006/relationships/hyperlink" Target="#Anleitung!A1"/></Relationships>
</file>

<file path=xl/drawings/_rels/drawing8.xml.rels><?xml version="1.0" encoding="UTF-8" standalone="yes"?>
<Relationships xmlns="http://schemas.openxmlformats.org/package/2006/relationships"><Relationship Id="rId1" Type="http://schemas.openxmlformats.org/officeDocument/2006/relationships/hyperlink" Target="#Anleitung!A1"/></Relationships>
</file>

<file path=xl/drawings/_rels/drawing9.xml.rels><?xml version="1.0" encoding="UTF-8" standalone="yes"?>
<Relationships xmlns="http://schemas.openxmlformats.org/package/2006/relationships"><Relationship Id="rId1" Type="http://schemas.openxmlformats.org/officeDocument/2006/relationships/hyperlink" Target="#Anleitung!A1"/></Relationships>
</file>

<file path=xl/drawings/drawing1.xml><?xml version="1.0" encoding="utf-8"?>
<xdr:wsDr xmlns:xdr="http://schemas.openxmlformats.org/drawingml/2006/spreadsheetDrawing" xmlns:a="http://schemas.openxmlformats.org/drawingml/2006/main">
  <xdr:twoCellAnchor>
    <xdr:from>
      <xdr:col>1</xdr:col>
      <xdr:colOff>1905</xdr:colOff>
      <xdr:row>7</xdr:row>
      <xdr:rowOff>161925</xdr:rowOff>
    </xdr:from>
    <xdr:to>
      <xdr:col>4</xdr:col>
      <xdr:colOff>647700</xdr:colOff>
      <xdr:row>30</xdr:row>
      <xdr:rowOff>1904</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287655" y="2945130"/>
          <a:ext cx="3274695" cy="469582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36195</xdr:colOff>
      <xdr:row>27</xdr:row>
      <xdr:rowOff>40004</xdr:rowOff>
    </xdr:from>
    <xdr:to>
      <xdr:col>4</xdr:col>
      <xdr:colOff>605790</xdr:colOff>
      <xdr:row>29</xdr:row>
      <xdr:rowOff>41909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321945" y="7250429"/>
          <a:ext cx="3198495" cy="344805"/>
        </a:xfrm>
        <a:prstGeom prst="rect">
          <a:avLst/>
        </a:prstGeom>
        <a:solidFill>
          <a:schemeClr val="bg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105319</xdr:colOff>
      <xdr:row>8</xdr:row>
      <xdr:rowOff>133350</xdr:rowOff>
    </xdr:from>
    <xdr:to>
      <xdr:col>4</xdr:col>
      <xdr:colOff>548640</xdr:colOff>
      <xdr:row>8</xdr:row>
      <xdr:rowOff>373159</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389164" y="3082290"/>
          <a:ext cx="3077936" cy="241714"/>
        </a:xfrm>
        <a:prstGeom prst="rect">
          <a:avLst/>
        </a:prstGeom>
        <a:solidFill>
          <a:srgbClr val="99CCF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latin typeface="Arial" panose="020B0604020202020204" pitchFamily="34" charset="0"/>
              <a:cs typeface="Arial" panose="020B0604020202020204" pitchFamily="34" charset="0"/>
            </a:rPr>
            <a:t>Input Projekt</a:t>
          </a:r>
        </a:p>
      </xdr:txBody>
    </xdr:sp>
    <xdr:clientData/>
  </xdr:twoCellAnchor>
  <xdr:twoCellAnchor>
    <xdr:from>
      <xdr:col>1</xdr:col>
      <xdr:colOff>99059</xdr:colOff>
      <xdr:row>10</xdr:row>
      <xdr:rowOff>81915</xdr:rowOff>
    </xdr:from>
    <xdr:to>
      <xdr:col>3</xdr:col>
      <xdr:colOff>687704</xdr:colOff>
      <xdr:row>12</xdr:row>
      <xdr:rowOff>144549</xdr:rowOff>
    </xdr:to>
    <xdr:sp macro="" textlink="">
      <xdr:nvSpPr>
        <xdr:cNvPr id="5" name="Textfeld 5">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380999" y="3731895"/>
          <a:ext cx="1678305" cy="401724"/>
        </a:xfrm>
        <a:prstGeom prst="rect">
          <a:avLst/>
        </a:prstGeom>
        <a:solidFill>
          <a:schemeClr val="tx2">
            <a:lumMod val="40000"/>
            <a:lumOff val="60000"/>
          </a:schemeClr>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latin typeface="Arial" panose="020B0604020202020204" pitchFamily="34" charset="0"/>
              <a:cs typeface="Arial" panose="020B0604020202020204" pitchFamily="34" charset="0"/>
            </a:rPr>
            <a:t>Eingabe Angebotswerte</a:t>
          </a:r>
        </a:p>
      </xdr:txBody>
    </xdr:sp>
    <xdr:clientData/>
  </xdr:twoCellAnchor>
  <xdr:twoCellAnchor>
    <xdr:from>
      <xdr:col>1</xdr:col>
      <xdr:colOff>76201</xdr:colOff>
      <xdr:row>27</xdr:row>
      <xdr:rowOff>87418</xdr:rowOff>
    </xdr:from>
    <xdr:to>
      <xdr:col>1</xdr:col>
      <xdr:colOff>663642</xdr:colOff>
      <xdr:row>28</xdr:row>
      <xdr:rowOff>164810</xdr:rowOff>
    </xdr:to>
    <xdr:sp macro="" textlink="">
      <xdr:nvSpPr>
        <xdr:cNvPr id="6" name="Textfeld 7">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61951" y="7299748"/>
          <a:ext cx="591251" cy="250747"/>
        </a:xfrm>
        <a:prstGeom prst="rect">
          <a:avLst/>
        </a:prstGeom>
        <a:solidFill>
          <a:schemeClr val="bg2">
            <a:lumMod val="40000"/>
            <a:lumOff val="60000"/>
          </a:scheme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latin typeface="Arial" panose="020B0604020202020204" pitchFamily="34" charset="0"/>
              <a:cs typeface="Arial" panose="020B0604020202020204" pitchFamily="34" charset="0"/>
            </a:rPr>
            <a:t>Pkw1</a:t>
          </a:r>
        </a:p>
      </xdr:txBody>
    </xdr:sp>
    <xdr:clientData/>
  </xdr:twoCellAnchor>
  <xdr:twoCellAnchor>
    <xdr:from>
      <xdr:col>1</xdr:col>
      <xdr:colOff>703695</xdr:colOff>
      <xdr:row>27</xdr:row>
      <xdr:rowOff>83608</xdr:rowOff>
    </xdr:from>
    <xdr:to>
      <xdr:col>3</xdr:col>
      <xdr:colOff>243840</xdr:colOff>
      <xdr:row>28</xdr:row>
      <xdr:rowOff>159095</xdr:rowOff>
    </xdr:to>
    <xdr:sp macro="" textlink="">
      <xdr:nvSpPr>
        <xdr:cNvPr id="7" name="Textfeld 8">
          <a:hlinkClick xmlns:r="http://schemas.openxmlformats.org/officeDocument/2006/relationships" r:id="rId4"/>
          <a:extLst>
            <a:ext uri="{FF2B5EF4-FFF2-40B4-BE49-F238E27FC236}">
              <a16:creationId xmlns:a16="http://schemas.microsoft.com/office/drawing/2014/main" id="{00000000-0008-0000-0000-000007000000}"/>
            </a:ext>
          </a:extLst>
        </xdr:cNvPr>
        <xdr:cNvSpPr txBox="1"/>
      </xdr:nvSpPr>
      <xdr:spPr>
        <a:xfrm>
          <a:off x="993255" y="7295938"/>
          <a:ext cx="625995" cy="246937"/>
        </a:xfrm>
        <a:prstGeom prst="rect">
          <a:avLst/>
        </a:prstGeom>
        <a:solidFill>
          <a:schemeClr val="bg2">
            <a:lumMod val="40000"/>
            <a:lumOff val="60000"/>
          </a:scheme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latin typeface="Arial" panose="020B0604020202020204" pitchFamily="34" charset="0"/>
              <a:cs typeface="Arial" panose="020B0604020202020204" pitchFamily="34" charset="0"/>
            </a:rPr>
            <a:t>Pkw2</a:t>
          </a:r>
        </a:p>
      </xdr:txBody>
    </xdr:sp>
    <xdr:clientData/>
  </xdr:twoCellAnchor>
  <xdr:twoCellAnchor>
    <xdr:from>
      <xdr:col>3</xdr:col>
      <xdr:colOff>306298</xdr:colOff>
      <xdr:row>27</xdr:row>
      <xdr:rowOff>96943</xdr:rowOff>
    </xdr:from>
    <xdr:to>
      <xdr:col>3</xdr:col>
      <xdr:colOff>857249</xdr:colOff>
      <xdr:row>28</xdr:row>
      <xdr:rowOff>164810</xdr:rowOff>
    </xdr:to>
    <xdr:sp macro="" textlink="">
      <xdr:nvSpPr>
        <xdr:cNvPr id="8" name="Textfeld 10">
          <a:hlinkClick xmlns:r="http://schemas.openxmlformats.org/officeDocument/2006/relationships" r:id="rId5"/>
          <a:extLst>
            <a:ext uri="{FF2B5EF4-FFF2-40B4-BE49-F238E27FC236}">
              <a16:creationId xmlns:a16="http://schemas.microsoft.com/office/drawing/2014/main" id="{00000000-0008-0000-0000-000008000000}"/>
            </a:ext>
          </a:extLst>
        </xdr:cNvPr>
        <xdr:cNvSpPr txBox="1"/>
      </xdr:nvSpPr>
      <xdr:spPr>
        <a:xfrm flipH="1">
          <a:off x="1677898" y="7303558"/>
          <a:ext cx="554761" cy="246937"/>
        </a:xfrm>
        <a:prstGeom prst="rect">
          <a:avLst/>
        </a:prstGeom>
        <a:solidFill>
          <a:schemeClr val="bg2">
            <a:lumMod val="40000"/>
            <a:lumOff val="60000"/>
          </a:scheme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latin typeface="Arial" panose="020B0604020202020204" pitchFamily="34" charset="0"/>
              <a:cs typeface="Arial" panose="020B0604020202020204" pitchFamily="34" charset="0"/>
            </a:rPr>
            <a:t>Pkw3</a:t>
          </a:r>
        </a:p>
      </xdr:txBody>
    </xdr:sp>
    <xdr:clientData/>
  </xdr:twoCellAnchor>
  <xdr:twoCellAnchor>
    <xdr:from>
      <xdr:col>3</xdr:col>
      <xdr:colOff>929983</xdr:colOff>
      <xdr:row>27</xdr:row>
      <xdr:rowOff>96943</xdr:rowOff>
    </xdr:from>
    <xdr:to>
      <xdr:col>3</xdr:col>
      <xdr:colOff>1502184</xdr:colOff>
      <xdr:row>28</xdr:row>
      <xdr:rowOff>164810</xdr:rowOff>
    </xdr:to>
    <xdr:sp macro="" textlink="">
      <xdr:nvSpPr>
        <xdr:cNvPr id="9" name="Textfeld 11">
          <a:hlinkClick xmlns:r="http://schemas.openxmlformats.org/officeDocument/2006/relationships" r:id="rId6"/>
          <a:extLst>
            <a:ext uri="{FF2B5EF4-FFF2-40B4-BE49-F238E27FC236}">
              <a16:creationId xmlns:a16="http://schemas.microsoft.com/office/drawing/2014/main" id="{00000000-0008-0000-0000-000009000000}"/>
            </a:ext>
          </a:extLst>
        </xdr:cNvPr>
        <xdr:cNvSpPr txBox="1"/>
      </xdr:nvSpPr>
      <xdr:spPr>
        <a:xfrm>
          <a:off x="2305393" y="7303558"/>
          <a:ext cx="572201" cy="246937"/>
        </a:xfrm>
        <a:prstGeom prst="rect">
          <a:avLst/>
        </a:prstGeom>
        <a:solidFill>
          <a:schemeClr val="bg2">
            <a:lumMod val="40000"/>
            <a:lumOff val="60000"/>
          </a:scheme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latin typeface="Arial" panose="020B0604020202020204" pitchFamily="34" charset="0"/>
              <a:cs typeface="Arial" panose="020B0604020202020204" pitchFamily="34" charset="0"/>
            </a:rPr>
            <a:t>Pkw4</a:t>
          </a:r>
        </a:p>
      </xdr:txBody>
    </xdr:sp>
    <xdr:clientData/>
  </xdr:twoCellAnchor>
  <xdr:twoCellAnchor>
    <xdr:from>
      <xdr:col>4</xdr:col>
      <xdr:colOff>19049</xdr:colOff>
      <xdr:row>27</xdr:row>
      <xdr:rowOff>83608</xdr:rowOff>
    </xdr:from>
    <xdr:to>
      <xdr:col>4</xdr:col>
      <xdr:colOff>573292</xdr:colOff>
      <xdr:row>28</xdr:row>
      <xdr:rowOff>159095</xdr:rowOff>
    </xdr:to>
    <xdr:sp macro="" textlink="">
      <xdr:nvSpPr>
        <xdr:cNvPr id="10" name="Textfeld 12">
          <a:hlinkClick xmlns:r="http://schemas.openxmlformats.org/officeDocument/2006/relationships" r:id="rId7"/>
          <a:extLst>
            <a:ext uri="{FF2B5EF4-FFF2-40B4-BE49-F238E27FC236}">
              <a16:creationId xmlns:a16="http://schemas.microsoft.com/office/drawing/2014/main" id="{00000000-0008-0000-0000-00000A000000}"/>
            </a:ext>
          </a:extLst>
        </xdr:cNvPr>
        <xdr:cNvSpPr txBox="1"/>
      </xdr:nvSpPr>
      <xdr:spPr>
        <a:xfrm>
          <a:off x="2937509" y="7295938"/>
          <a:ext cx="550433" cy="246937"/>
        </a:xfrm>
        <a:prstGeom prst="rect">
          <a:avLst/>
        </a:prstGeom>
        <a:solidFill>
          <a:schemeClr val="bg2">
            <a:lumMod val="40000"/>
            <a:lumOff val="60000"/>
          </a:scheme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latin typeface="Arial" panose="020B0604020202020204" pitchFamily="34" charset="0"/>
              <a:cs typeface="Arial" panose="020B0604020202020204" pitchFamily="34" charset="0"/>
            </a:rPr>
            <a:t>Pkw5</a:t>
          </a:r>
        </a:p>
      </xdr:txBody>
    </xdr:sp>
    <xdr:clientData/>
  </xdr:twoCellAnchor>
  <xdr:twoCellAnchor>
    <xdr:from>
      <xdr:col>1</xdr:col>
      <xdr:colOff>95250</xdr:colOff>
      <xdr:row>19</xdr:row>
      <xdr:rowOff>163418</xdr:rowOff>
    </xdr:from>
    <xdr:to>
      <xdr:col>4</xdr:col>
      <xdr:colOff>571009</xdr:colOff>
      <xdr:row>21</xdr:row>
      <xdr:rowOff>60082</xdr:rowOff>
    </xdr:to>
    <xdr:sp macro="" textlink="">
      <xdr:nvSpPr>
        <xdr:cNvPr id="11" name="Textfeld 14">
          <a:hlinkClick xmlns:r="http://schemas.openxmlformats.org/officeDocument/2006/relationships" r:id="rId8"/>
          <a:extLst>
            <a:ext uri="{FF2B5EF4-FFF2-40B4-BE49-F238E27FC236}">
              <a16:creationId xmlns:a16="http://schemas.microsoft.com/office/drawing/2014/main" id="{00000000-0008-0000-0000-00000B000000}"/>
            </a:ext>
          </a:extLst>
        </xdr:cNvPr>
        <xdr:cNvSpPr txBox="1"/>
      </xdr:nvSpPr>
      <xdr:spPr>
        <a:xfrm>
          <a:off x="377190" y="6194648"/>
          <a:ext cx="3108469" cy="233849"/>
        </a:xfrm>
        <a:prstGeom prst="rect">
          <a:avLst/>
        </a:prstGeom>
        <a:solidFill>
          <a:srgbClr val="33CCCC"/>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latin typeface="Arial" panose="020B0604020202020204" pitchFamily="34" charset="0"/>
              <a:cs typeface="Arial" panose="020B0604020202020204" pitchFamily="34" charset="0"/>
            </a:rPr>
            <a:t>Ergebnisse LZK</a:t>
          </a:r>
        </a:p>
      </xdr:txBody>
    </xdr:sp>
    <xdr:clientData/>
  </xdr:twoCellAnchor>
  <xdr:twoCellAnchor>
    <xdr:from>
      <xdr:col>3</xdr:col>
      <xdr:colOff>350567</xdr:colOff>
      <xdr:row>8</xdr:row>
      <xdr:rowOff>405539</xdr:rowOff>
    </xdr:from>
    <xdr:to>
      <xdr:col>3</xdr:col>
      <xdr:colOff>466191</xdr:colOff>
      <xdr:row>10</xdr:row>
      <xdr:rowOff>49677</xdr:rowOff>
    </xdr:to>
    <xdr:sp macro="" textlink="">
      <xdr:nvSpPr>
        <xdr:cNvPr id="12" name="Pfeil nach unten 19">
          <a:extLst>
            <a:ext uri="{FF2B5EF4-FFF2-40B4-BE49-F238E27FC236}">
              <a16:creationId xmlns:a16="http://schemas.microsoft.com/office/drawing/2014/main" id="{00000000-0008-0000-0000-00000C000000}"/>
            </a:ext>
          </a:extLst>
        </xdr:cNvPr>
        <xdr:cNvSpPr/>
      </xdr:nvSpPr>
      <xdr:spPr>
        <a:xfrm rot="1655546">
          <a:off x="1724072" y="3354479"/>
          <a:ext cx="115624" cy="347083"/>
        </a:xfrm>
        <a:prstGeom prst="downArrow">
          <a:avLst>
            <a:gd name="adj1" fmla="val 50000"/>
            <a:gd name="adj2" fmla="val 47959"/>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sz="1200"/>
        </a:p>
      </xdr:txBody>
    </xdr:sp>
    <xdr:clientData/>
  </xdr:twoCellAnchor>
  <xdr:twoCellAnchor>
    <xdr:from>
      <xdr:col>3</xdr:col>
      <xdr:colOff>166161</xdr:colOff>
      <xdr:row>14</xdr:row>
      <xdr:rowOff>38774</xdr:rowOff>
    </xdr:from>
    <xdr:to>
      <xdr:col>3</xdr:col>
      <xdr:colOff>297140</xdr:colOff>
      <xdr:row>19</xdr:row>
      <xdr:rowOff>96724</xdr:rowOff>
    </xdr:to>
    <xdr:sp macro="" textlink="">
      <xdr:nvSpPr>
        <xdr:cNvPr id="13" name="Pfeil nach unten 20">
          <a:extLst>
            <a:ext uri="{FF2B5EF4-FFF2-40B4-BE49-F238E27FC236}">
              <a16:creationId xmlns:a16="http://schemas.microsoft.com/office/drawing/2014/main" id="{00000000-0008-0000-0000-00000D000000}"/>
            </a:ext>
          </a:extLst>
        </xdr:cNvPr>
        <xdr:cNvSpPr/>
      </xdr:nvSpPr>
      <xdr:spPr>
        <a:xfrm rot="20650205">
          <a:off x="1541571" y="4325024"/>
          <a:ext cx="125264" cy="1797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sz="1200"/>
        </a:p>
      </xdr:txBody>
    </xdr:sp>
    <xdr:clientData/>
  </xdr:twoCellAnchor>
  <xdr:twoCellAnchor>
    <xdr:from>
      <xdr:col>1</xdr:col>
      <xdr:colOff>95250</xdr:colOff>
      <xdr:row>23</xdr:row>
      <xdr:rowOff>56738</xdr:rowOff>
    </xdr:from>
    <xdr:to>
      <xdr:col>4</xdr:col>
      <xdr:colOff>571009</xdr:colOff>
      <xdr:row>24</xdr:row>
      <xdr:rowOff>132472</xdr:rowOff>
    </xdr:to>
    <xdr:sp macro="" textlink="">
      <xdr:nvSpPr>
        <xdr:cNvPr id="14" name="Textfeld 14">
          <a:hlinkClick xmlns:r="http://schemas.openxmlformats.org/officeDocument/2006/relationships" r:id="rId9"/>
          <a:extLst>
            <a:ext uri="{FF2B5EF4-FFF2-40B4-BE49-F238E27FC236}">
              <a16:creationId xmlns:a16="http://schemas.microsoft.com/office/drawing/2014/main" id="{00000000-0008-0000-0000-00000E000000}"/>
            </a:ext>
          </a:extLst>
        </xdr:cNvPr>
        <xdr:cNvSpPr txBox="1"/>
      </xdr:nvSpPr>
      <xdr:spPr>
        <a:xfrm>
          <a:off x="377190" y="6775673"/>
          <a:ext cx="3108469" cy="247184"/>
        </a:xfrm>
        <a:prstGeom prst="rect">
          <a:avLst/>
        </a:prstGeom>
        <a:solidFill>
          <a:schemeClr val="tx2">
            <a:lumMod val="75000"/>
          </a:scheme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50">
              <a:solidFill>
                <a:schemeClr val="bg1"/>
              </a:solidFill>
              <a:latin typeface="Arial" panose="020B0604020202020204" pitchFamily="34" charset="0"/>
              <a:cs typeface="Arial" panose="020B0604020202020204" pitchFamily="34" charset="0"/>
            </a:rPr>
            <a:t>Ergebnisse Umweltkosten</a:t>
          </a:r>
        </a:p>
      </xdr:txBody>
    </xdr:sp>
    <xdr:clientData/>
  </xdr:twoCellAnchor>
  <xdr:twoCellAnchor>
    <xdr:from>
      <xdr:col>3</xdr:col>
      <xdr:colOff>590550</xdr:colOff>
      <xdr:row>13</xdr:row>
      <xdr:rowOff>9525</xdr:rowOff>
    </xdr:from>
    <xdr:to>
      <xdr:col>4</xdr:col>
      <xdr:colOff>561975</xdr:colOff>
      <xdr:row>17</xdr:row>
      <xdr:rowOff>476250</xdr:rowOff>
    </xdr:to>
    <xdr:sp macro="" textlink="">
      <xdr:nvSpPr>
        <xdr:cNvPr id="15" name="Rechteck 14">
          <a:hlinkClick xmlns:r="http://schemas.openxmlformats.org/officeDocument/2006/relationships" r:id="rId10"/>
          <a:extLst>
            <a:ext uri="{FF2B5EF4-FFF2-40B4-BE49-F238E27FC236}">
              <a16:creationId xmlns:a16="http://schemas.microsoft.com/office/drawing/2014/main" id="{00000000-0008-0000-0000-00000F000000}"/>
            </a:ext>
          </a:extLst>
        </xdr:cNvPr>
        <xdr:cNvSpPr/>
      </xdr:nvSpPr>
      <xdr:spPr>
        <a:xfrm>
          <a:off x="1958340" y="4240530"/>
          <a:ext cx="1516380" cy="1689735"/>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000"/>
        </a:p>
        <a:p>
          <a:pPr algn="l"/>
          <a:endParaRPr lang="de-DE" sz="1000"/>
        </a:p>
        <a:p>
          <a:pPr algn="l"/>
          <a:endParaRPr lang="de-DE" sz="900">
            <a:solidFill>
              <a:sysClr val="windowText" lastClr="000000"/>
            </a:solidFill>
            <a:latin typeface="Arial" panose="020B0604020202020204" pitchFamily="34" charset="0"/>
            <a:cs typeface="Arial" panose="020B0604020202020204" pitchFamily="34" charset="0"/>
          </a:endParaRPr>
        </a:p>
        <a:p>
          <a:pPr algn="l"/>
          <a:endParaRPr lang="de-DE" sz="1100">
            <a:solidFill>
              <a:sysClr val="windowText" lastClr="000000"/>
            </a:solidFill>
            <a:latin typeface="Arial" panose="020B0604020202020204" pitchFamily="34" charset="0"/>
            <a:cs typeface="Arial" panose="020B0604020202020204" pitchFamily="34" charset="0"/>
          </a:endParaRPr>
        </a:p>
        <a:p>
          <a:pPr algn="l"/>
          <a:endParaRPr lang="de-DE" sz="800">
            <a:solidFill>
              <a:sysClr val="windowText" lastClr="000000"/>
            </a:solidFill>
            <a:latin typeface="Arial" panose="020B0604020202020204" pitchFamily="34" charset="0"/>
            <a:cs typeface="Arial" panose="020B0604020202020204" pitchFamily="34" charset="0"/>
          </a:endParaRPr>
        </a:p>
        <a:p>
          <a:pPr algn="l"/>
          <a:r>
            <a:rPr lang="de-DE" sz="1100">
              <a:solidFill>
                <a:sysClr val="windowText" lastClr="000000"/>
              </a:solidFill>
              <a:latin typeface="Arial" panose="020B0604020202020204" pitchFamily="34" charset="0"/>
              <a:cs typeface="Arial" panose="020B0604020202020204" pitchFamily="34" charset="0"/>
            </a:rPr>
            <a:t> Grunddaten</a:t>
          </a:r>
        </a:p>
      </xdr:txBody>
    </xdr:sp>
    <xdr:clientData/>
  </xdr:twoCellAnchor>
  <xdr:twoCellAnchor editAs="oneCell">
    <xdr:from>
      <xdr:col>1</xdr:col>
      <xdr:colOff>7620</xdr:colOff>
      <xdr:row>3</xdr:row>
      <xdr:rowOff>160020</xdr:rowOff>
    </xdr:from>
    <xdr:to>
      <xdr:col>3</xdr:col>
      <xdr:colOff>610235</xdr:colOff>
      <xdr:row>3</xdr:row>
      <xdr:rowOff>629920</xdr:rowOff>
    </xdr:to>
    <xdr:pic>
      <xdr:nvPicPr>
        <xdr:cNvPr id="17" name="Grafik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95275" y="704850"/>
          <a:ext cx="1684655" cy="466090"/>
        </a:xfrm>
        <a:prstGeom prst="rect">
          <a:avLst/>
        </a:prstGeom>
      </xdr:spPr>
    </xdr:pic>
    <xdr:clientData/>
  </xdr:twoCellAnchor>
  <xdr:twoCellAnchor>
    <xdr:from>
      <xdr:col>3</xdr:col>
      <xdr:colOff>895350</xdr:colOff>
      <xdr:row>14</xdr:row>
      <xdr:rowOff>38100</xdr:rowOff>
    </xdr:from>
    <xdr:to>
      <xdr:col>4</xdr:col>
      <xdr:colOff>474346</xdr:colOff>
      <xdr:row>15</xdr:row>
      <xdr:rowOff>323850</xdr:rowOff>
    </xdr:to>
    <xdr:sp macro="" textlink="">
      <xdr:nvSpPr>
        <xdr:cNvPr id="20" name="Textfeld 3">
          <a:hlinkClick xmlns:r="http://schemas.openxmlformats.org/officeDocument/2006/relationships" r:id="rId10"/>
          <a:extLst>
            <a:ext uri="{FF2B5EF4-FFF2-40B4-BE49-F238E27FC236}">
              <a16:creationId xmlns:a16="http://schemas.microsoft.com/office/drawing/2014/main" id="{00000000-0008-0000-0000-000014000000}"/>
            </a:ext>
          </a:extLst>
        </xdr:cNvPr>
        <xdr:cNvSpPr txBox="1"/>
      </xdr:nvSpPr>
      <xdr:spPr>
        <a:xfrm>
          <a:off x="2263140" y="4324350"/>
          <a:ext cx="1129666" cy="462915"/>
        </a:xfrm>
        <a:prstGeom prst="rect">
          <a:avLst/>
        </a:prstGeom>
        <a:solidFill>
          <a:schemeClr val="accent6">
            <a:lumMod val="40000"/>
            <a:lumOff val="60000"/>
          </a:schemeClr>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latin typeface="Arial" panose="020B0604020202020204" pitchFamily="34" charset="0"/>
              <a:cs typeface="Arial" panose="020B0604020202020204" pitchFamily="34" charset="0"/>
            </a:rPr>
            <a:t>Mindest-anforderungen</a:t>
          </a:r>
        </a:p>
      </xdr:txBody>
    </xdr:sp>
    <xdr:clientData/>
  </xdr:twoCellAnchor>
  <xdr:twoCellAnchor>
    <xdr:from>
      <xdr:col>3</xdr:col>
      <xdr:colOff>895350</xdr:colOff>
      <xdr:row>16</xdr:row>
      <xdr:rowOff>5715</xdr:rowOff>
    </xdr:from>
    <xdr:to>
      <xdr:col>4</xdr:col>
      <xdr:colOff>485776</xdr:colOff>
      <xdr:row>17</xdr:row>
      <xdr:rowOff>386715</xdr:rowOff>
    </xdr:to>
    <xdr:sp macro="" textlink="">
      <xdr:nvSpPr>
        <xdr:cNvPr id="21" name="Textfeld 3">
          <a:hlinkClick xmlns:r="http://schemas.openxmlformats.org/officeDocument/2006/relationships" r:id="rId10"/>
          <a:extLst>
            <a:ext uri="{FF2B5EF4-FFF2-40B4-BE49-F238E27FC236}">
              <a16:creationId xmlns:a16="http://schemas.microsoft.com/office/drawing/2014/main" id="{00000000-0008-0000-0000-000015000000}"/>
            </a:ext>
          </a:extLst>
        </xdr:cNvPr>
        <xdr:cNvSpPr txBox="1"/>
      </xdr:nvSpPr>
      <xdr:spPr>
        <a:xfrm>
          <a:off x="2263140" y="5408295"/>
          <a:ext cx="1135381" cy="438150"/>
        </a:xfrm>
        <a:prstGeom prst="rect">
          <a:avLst/>
        </a:prstGeom>
        <a:solidFill>
          <a:schemeClr val="accent5">
            <a:lumMod val="40000"/>
            <a:lumOff val="60000"/>
          </a:schemeClr>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latin typeface="Arial" panose="020B0604020202020204" pitchFamily="34" charset="0"/>
              <a:cs typeface="Arial" panose="020B0604020202020204" pitchFamily="34" charset="0"/>
            </a:rPr>
            <a:t>Energie- + Umweltkosten</a:t>
          </a:r>
        </a:p>
      </xdr:txBody>
    </xdr:sp>
    <xdr:clientData/>
  </xdr:twoCellAnchor>
  <xdr:twoCellAnchor>
    <xdr:from>
      <xdr:col>3</xdr:col>
      <xdr:colOff>792986</xdr:colOff>
      <xdr:row>11</xdr:row>
      <xdr:rowOff>140664</xdr:rowOff>
    </xdr:from>
    <xdr:to>
      <xdr:col>3</xdr:col>
      <xdr:colOff>904178</xdr:colOff>
      <xdr:row>14</xdr:row>
      <xdr:rowOff>20649</xdr:rowOff>
    </xdr:to>
    <xdr:sp macro="" textlink="">
      <xdr:nvSpPr>
        <xdr:cNvPr id="22" name="Pfeil nach links und rechts 2">
          <a:extLst>
            <a:ext uri="{FF2B5EF4-FFF2-40B4-BE49-F238E27FC236}">
              <a16:creationId xmlns:a16="http://schemas.microsoft.com/office/drawing/2014/main" id="{00000000-0008-0000-0000-000016000000}"/>
            </a:ext>
          </a:extLst>
        </xdr:cNvPr>
        <xdr:cNvSpPr/>
      </xdr:nvSpPr>
      <xdr:spPr>
        <a:xfrm rot="3285678">
          <a:off x="2044922" y="4074138"/>
          <a:ext cx="346710" cy="111192"/>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685140</xdr:colOff>
      <xdr:row>17</xdr:row>
      <xdr:rowOff>327103</xdr:rowOff>
    </xdr:from>
    <xdr:to>
      <xdr:col>3</xdr:col>
      <xdr:colOff>801867</xdr:colOff>
      <xdr:row>19</xdr:row>
      <xdr:rowOff>92137</xdr:rowOff>
    </xdr:to>
    <xdr:sp macro="" textlink="">
      <xdr:nvSpPr>
        <xdr:cNvPr id="23" name="Pfeil nach unten 26">
          <a:extLst>
            <a:ext uri="{FF2B5EF4-FFF2-40B4-BE49-F238E27FC236}">
              <a16:creationId xmlns:a16="http://schemas.microsoft.com/office/drawing/2014/main" id="{00000000-0008-0000-0000-000017000000}"/>
            </a:ext>
          </a:extLst>
        </xdr:cNvPr>
        <xdr:cNvSpPr/>
      </xdr:nvSpPr>
      <xdr:spPr>
        <a:xfrm rot="2012242">
          <a:off x="2056740" y="5781118"/>
          <a:ext cx="116727" cy="344154"/>
        </a:xfrm>
        <a:prstGeom prst="downArrow">
          <a:avLst>
            <a:gd name="adj1" fmla="val 50000"/>
            <a:gd name="adj2" fmla="val 56349"/>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sz="1200"/>
        </a:p>
      </xdr:txBody>
    </xdr:sp>
    <xdr:clientData/>
  </xdr:twoCellAnchor>
  <xdr:twoCellAnchor editAs="oneCell">
    <xdr:from>
      <xdr:col>8</xdr:col>
      <xdr:colOff>25297</xdr:colOff>
      <xdr:row>2</xdr:row>
      <xdr:rowOff>134372</xdr:rowOff>
    </xdr:from>
    <xdr:to>
      <xdr:col>9</xdr:col>
      <xdr:colOff>134296</xdr:colOff>
      <xdr:row>3</xdr:row>
      <xdr:rowOff>860846</xdr:rowOff>
    </xdr:to>
    <xdr:pic>
      <xdr:nvPicPr>
        <xdr:cNvPr id="27" name="Grafik 26">
          <a:extLst>
            <a:ext uri="{FF2B5EF4-FFF2-40B4-BE49-F238E27FC236}">
              <a16:creationId xmlns:a16="http://schemas.microsoft.com/office/drawing/2014/main" id="{9C66517A-7F6D-4B39-93E0-6F256706E8E8}"/>
            </a:ext>
          </a:extLst>
        </xdr:cNvPr>
        <xdr:cNvPicPr>
          <a:picLocks noChangeAspect="1"/>
        </xdr:cNvPicPr>
      </xdr:nvPicPr>
      <xdr:blipFill>
        <a:blip xmlns:r="http://schemas.openxmlformats.org/officeDocument/2006/relationships" r:embed="rId12"/>
        <a:stretch>
          <a:fillRect/>
        </a:stretch>
      </xdr:blipFill>
      <xdr:spPr>
        <a:xfrm>
          <a:off x="6090195" y="513428"/>
          <a:ext cx="900079" cy="912853"/>
        </a:xfrm>
        <a:prstGeom prst="rect">
          <a:avLst/>
        </a:prstGeom>
      </xdr:spPr>
    </xdr:pic>
    <xdr:clientData/>
  </xdr:twoCellAnchor>
  <xdr:twoCellAnchor editAs="oneCell">
    <xdr:from>
      <xdr:col>5</xdr:col>
      <xdr:colOff>728954</xdr:colOff>
      <xdr:row>2</xdr:row>
      <xdr:rowOff>123154</xdr:rowOff>
    </xdr:from>
    <xdr:to>
      <xdr:col>7</xdr:col>
      <xdr:colOff>591947</xdr:colOff>
      <xdr:row>3</xdr:row>
      <xdr:rowOff>876771</xdr:rowOff>
    </xdr:to>
    <xdr:pic>
      <xdr:nvPicPr>
        <xdr:cNvPr id="28" name="Grafik 27">
          <a:extLst>
            <a:ext uri="{FF2B5EF4-FFF2-40B4-BE49-F238E27FC236}">
              <a16:creationId xmlns:a16="http://schemas.microsoft.com/office/drawing/2014/main" id="{64FC67D3-27F2-4CCC-9FE1-DBD87120268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432041" y="502210"/>
          <a:ext cx="1428009" cy="928566"/>
        </a:xfrm>
        <a:prstGeom prst="rect">
          <a:avLst/>
        </a:prstGeom>
      </xdr:spPr>
    </xdr:pic>
    <xdr:clientData/>
  </xdr:twoCellAnchor>
  <xdr:twoCellAnchor editAs="oneCell">
    <xdr:from>
      <xdr:col>9</xdr:col>
      <xdr:colOff>380751</xdr:colOff>
      <xdr:row>2</xdr:row>
      <xdr:rowOff>38877</xdr:rowOff>
    </xdr:from>
    <xdr:to>
      <xdr:col>10</xdr:col>
      <xdr:colOff>188028</xdr:colOff>
      <xdr:row>3</xdr:row>
      <xdr:rowOff>875265</xdr:rowOff>
    </xdr:to>
    <xdr:pic>
      <xdr:nvPicPr>
        <xdr:cNvPr id="29" name="Grafik 28">
          <a:extLst>
            <a:ext uri="{FF2B5EF4-FFF2-40B4-BE49-F238E27FC236}">
              <a16:creationId xmlns:a16="http://schemas.microsoft.com/office/drawing/2014/main" id="{E93EF25D-A19F-488F-B1E8-1874A398538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232919" y="417933"/>
          <a:ext cx="1002762" cy="101133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15240</xdr:colOff>
      <xdr:row>0</xdr:row>
      <xdr:rowOff>121920</xdr:rowOff>
    </xdr:from>
    <xdr:to>
      <xdr:col>6</xdr:col>
      <xdr:colOff>777239</xdr:colOff>
      <xdr:row>2</xdr:row>
      <xdr:rowOff>76200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7094220" y="12192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a:t>
          </a:r>
          <a:r>
            <a:rPr lang="de-DE" sz="1000" baseline="0">
              <a:solidFill>
                <a:schemeClr val="bg1"/>
              </a:solidFill>
              <a:latin typeface="Arial" panose="020B0604020202020204" pitchFamily="34" charset="0"/>
              <a:cs typeface="Arial" panose="020B0604020202020204" pitchFamily="34" charset="0"/>
            </a:rPr>
            <a:t> </a:t>
          </a:r>
          <a:r>
            <a:rPr lang="de-DE" sz="1000">
              <a:solidFill>
                <a:schemeClr val="bg1"/>
              </a:solidFill>
              <a:latin typeface="Arial" panose="020B0604020202020204" pitchFamily="34" charset="0"/>
              <a:cs typeface="Arial" panose="020B0604020202020204" pitchFamily="34" charset="0"/>
            </a:rPr>
            <a:t>Anleitung</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15240</xdr:colOff>
      <xdr:row>0</xdr:row>
      <xdr:rowOff>121920</xdr:rowOff>
    </xdr:from>
    <xdr:to>
      <xdr:col>6</xdr:col>
      <xdr:colOff>777239</xdr:colOff>
      <xdr:row>2</xdr:row>
      <xdr:rowOff>76200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7094220" y="12192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15240</xdr:colOff>
      <xdr:row>0</xdr:row>
      <xdr:rowOff>114300</xdr:rowOff>
    </xdr:from>
    <xdr:to>
      <xdr:col>7</xdr:col>
      <xdr:colOff>777239</xdr:colOff>
      <xdr:row>2</xdr:row>
      <xdr:rowOff>68580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4556760" y="11430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a:t>
          </a:r>
          <a:r>
            <a:rPr lang="de-DE" sz="1000" baseline="0">
              <a:solidFill>
                <a:schemeClr val="bg1"/>
              </a:solidFill>
              <a:latin typeface="Arial" panose="020B0604020202020204" pitchFamily="34" charset="0"/>
              <a:cs typeface="Arial" panose="020B0604020202020204" pitchFamily="34" charset="0"/>
            </a:rPr>
            <a:t> </a:t>
          </a:r>
          <a:r>
            <a:rPr lang="de-DE" sz="1000">
              <a:solidFill>
                <a:schemeClr val="bg1"/>
              </a:solidFill>
              <a:latin typeface="Arial" panose="020B0604020202020204" pitchFamily="34" charset="0"/>
              <a:cs typeface="Arial" panose="020B0604020202020204" pitchFamily="34" charset="0"/>
            </a:rPr>
            <a:t>Anleitung</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194733</xdr:colOff>
      <xdr:row>12</xdr:row>
      <xdr:rowOff>25400</xdr:rowOff>
    </xdr:from>
    <xdr:to>
      <xdr:col>2</xdr:col>
      <xdr:colOff>660400</xdr:colOff>
      <xdr:row>16</xdr:row>
      <xdr:rowOff>110067</xdr:rowOff>
    </xdr:to>
    <xdr:sp macro="" textlink="">
      <xdr:nvSpPr>
        <xdr:cNvPr id="3" name="Geschweifte Klammer rechts 2">
          <a:extLst>
            <a:ext uri="{FF2B5EF4-FFF2-40B4-BE49-F238E27FC236}">
              <a16:creationId xmlns:a16="http://schemas.microsoft.com/office/drawing/2014/main" id="{00000000-0008-0000-0C00-000003000000}"/>
            </a:ext>
          </a:extLst>
        </xdr:cNvPr>
        <xdr:cNvSpPr/>
      </xdr:nvSpPr>
      <xdr:spPr>
        <a:xfrm>
          <a:off x="1540933" y="3581400"/>
          <a:ext cx="465667" cy="79586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DE"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323849</xdr:colOff>
      <xdr:row>3</xdr:row>
      <xdr:rowOff>0</xdr:rowOff>
    </xdr:from>
    <xdr:to>
      <xdr:col>15</xdr:col>
      <xdr:colOff>362121</xdr:colOff>
      <xdr:row>37</xdr:row>
      <xdr:rowOff>96720</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59" y="514350"/>
          <a:ext cx="11422552" cy="5922210"/>
        </a:xfrm>
        <a:prstGeom prst="rect">
          <a:avLst/>
        </a:prstGeom>
      </xdr:spPr>
    </xdr:pic>
    <xdr:clientData/>
  </xdr:twoCellAnchor>
  <xdr:twoCellAnchor>
    <xdr:from>
      <xdr:col>16</xdr:col>
      <xdr:colOff>22860</xdr:colOff>
      <xdr:row>0</xdr:row>
      <xdr:rowOff>99060</xdr:rowOff>
    </xdr:from>
    <xdr:to>
      <xdr:col>17</xdr:col>
      <xdr:colOff>784859</xdr:colOff>
      <xdr:row>2</xdr:row>
      <xdr:rowOff>53340</xdr:rowOff>
    </xdr:to>
    <xdr:sp macro="" textlink="">
      <xdr:nvSpPr>
        <xdr:cNvPr id="3" name="Textfeld 5">
          <a:hlinkClick xmlns:r="http://schemas.openxmlformats.org/officeDocument/2006/relationships" r:id="rId2"/>
          <a:extLst>
            <a:ext uri="{FF2B5EF4-FFF2-40B4-BE49-F238E27FC236}">
              <a16:creationId xmlns:a16="http://schemas.microsoft.com/office/drawing/2014/main" id="{00000000-0008-0000-0D00-000003000000}"/>
            </a:ext>
          </a:extLst>
        </xdr:cNvPr>
        <xdr:cNvSpPr txBox="1"/>
      </xdr:nvSpPr>
      <xdr:spPr>
        <a:xfrm>
          <a:off x="12230100" y="9906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15240</xdr:colOff>
      <xdr:row>0</xdr:row>
      <xdr:rowOff>60960</xdr:rowOff>
    </xdr:from>
    <xdr:to>
      <xdr:col>5</xdr:col>
      <xdr:colOff>777239</xdr:colOff>
      <xdr:row>2</xdr:row>
      <xdr:rowOff>53340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7833360" y="6096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a:t>
          </a:r>
          <a:r>
            <a:rPr lang="de-DE" sz="1000" baseline="0">
              <a:solidFill>
                <a:schemeClr val="bg1"/>
              </a:solidFill>
              <a:latin typeface="Arial" panose="020B0604020202020204" pitchFamily="34" charset="0"/>
              <a:cs typeface="Arial" panose="020B0604020202020204" pitchFamily="34" charset="0"/>
            </a:rPr>
            <a:t> </a:t>
          </a:r>
          <a:r>
            <a:rPr lang="de-DE" sz="1000">
              <a:solidFill>
                <a:schemeClr val="bg1"/>
              </a:solidFill>
              <a:latin typeface="Arial" panose="020B0604020202020204" pitchFamily="34" charset="0"/>
              <a:cs typeface="Arial" panose="020B0604020202020204" pitchFamily="34" charset="0"/>
            </a:rPr>
            <a:t>Anleitung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xdr:colOff>
      <xdr:row>0</xdr:row>
      <xdr:rowOff>129540</xdr:rowOff>
    </xdr:from>
    <xdr:to>
      <xdr:col>9</xdr:col>
      <xdr:colOff>777239</xdr:colOff>
      <xdr:row>2</xdr:row>
      <xdr:rowOff>83820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9525000" y="12954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60749</xdr:colOff>
      <xdr:row>11</xdr:row>
      <xdr:rowOff>325755</xdr:rowOff>
    </xdr:from>
    <xdr:to>
      <xdr:col>13</xdr:col>
      <xdr:colOff>107768</xdr:colOff>
      <xdr:row>15</xdr:row>
      <xdr:rowOff>22225</xdr:rowOff>
    </xdr:to>
    <xdr:grpSp>
      <xdr:nvGrpSpPr>
        <xdr:cNvPr id="3" name="Gruppieren 2">
          <a:extLst>
            <a:ext uri="{FF2B5EF4-FFF2-40B4-BE49-F238E27FC236}">
              <a16:creationId xmlns:a16="http://schemas.microsoft.com/office/drawing/2014/main" id="{00000000-0008-0000-0200-000003000000}"/>
            </a:ext>
          </a:extLst>
        </xdr:cNvPr>
        <xdr:cNvGrpSpPr/>
      </xdr:nvGrpSpPr>
      <xdr:grpSpPr>
        <a:xfrm>
          <a:off x="9067589" y="2569845"/>
          <a:ext cx="1630074" cy="963295"/>
          <a:chOff x="8390255" y="2565400"/>
          <a:chExt cx="1643409" cy="965200"/>
        </a:xfrm>
      </xdr:grpSpPr>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0255" y="2565400"/>
            <a:ext cx="1643409" cy="965200"/>
          </a:xfrm>
          <a:prstGeom prst="rect">
            <a:avLst/>
          </a:prstGeom>
        </xdr:spPr>
      </xdr:pic>
      <xdr:sp macro="" textlink="">
        <xdr:nvSpPr>
          <xdr:cNvPr id="5" name="Rechteck 4">
            <a:extLst>
              <a:ext uri="{FF2B5EF4-FFF2-40B4-BE49-F238E27FC236}">
                <a16:creationId xmlns:a16="http://schemas.microsoft.com/office/drawing/2014/main" id="{00000000-0008-0000-0200-000005000000}"/>
              </a:ext>
            </a:extLst>
          </xdr:cNvPr>
          <xdr:cNvSpPr/>
        </xdr:nvSpPr>
        <xdr:spPr>
          <a:xfrm>
            <a:off x="8893399" y="3214146"/>
            <a:ext cx="267970" cy="306257"/>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10</xdr:col>
      <xdr:colOff>7620</xdr:colOff>
      <xdr:row>0</xdr:row>
      <xdr:rowOff>144780</xdr:rowOff>
    </xdr:from>
    <xdr:to>
      <xdr:col>12</xdr:col>
      <xdr:colOff>281939</xdr:colOff>
      <xdr:row>2</xdr:row>
      <xdr:rowOff>99060</xdr:rowOff>
    </xdr:to>
    <xdr:sp macro="" textlink="">
      <xdr:nvSpPr>
        <xdr:cNvPr id="6" name="Textfeld 5">
          <a:hlinkClick xmlns:r="http://schemas.openxmlformats.org/officeDocument/2006/relationships" r:id="rId2"/>
          <a:extLst>
            <a:ext uri="{FF2B5EF4-FFF2-40B4-BE49-F238E27FC236}">
              <a16:creationId xmlns:a16="http://schemas.microsoft.com/office/drawing/2014/main" id="{00000000-0008-0000-0200-000006000000}"/>
            </a:ext>
          </a:extLst>
        </xdr:cNvPr>
        <xdr:cNvSpPr txBox="1"/>
      </xdr:nvSpPr>
      <xdr:spPr>
        <a:xfrm>
          <a:off x="7932420" y="14478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30</xdr:row>
      <xdr:rowOff>123825</xdr:rowOff>
    </xdr:from>
    <xdr:to>
      <xdr:col>7</xdr:col>
      <xdr:colOff>782955</xdr:colOff>
      <xdr:row>31</xdr:row>
      <xdr:rowOff>53340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xdr:colOff>
      <xdr:row>0</xdr:row>
      <xdr:rowOff>152400</xdr:rowOff>
    </xdr:from>
    <xdr:to>
      <xdr:col>10</xdr:col>
      <xdr:colOff>777239</xdr:colOff>
      <xdr:row>2</xdr:row>
      <xdr:rowOff>91440</xdr:rowOff>
    </xdr:to>
    <xdr:sp macro="" textlink="">
      <xdr:nvSpPr>
        <xdr:cNvPr id="3" name="Textfeld 5">
          <a:hlinkClick xmlns:r="http://schemas.openxmlformats.org/officeDocument/2006/relationships" r:id="rId2"/>
          <a:extLst>
            <a:ext uri="{FF2B5EF4-FFF2-40B4-BE49-F238E27FC236}">
              <a16:creationId xmlns:a16="http://schemas.microsoft.com/office/drawing/2014/main" id="{00000000-0008-0000-0300-000003000000}"/>
            </a:ext>
          </a:extLst>
        </xdr:cNvPr>
        <xdr:cNvSpPr txBox="1"/>
      </xdr:nvSpPr>
      <xdr:spPr>
        <a:xfrm>
          <a:off x="8542020" y="15240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28</xdr:row>
      <xdr:rowOff>123825</xdr:rowOff>
    </xdr:from>
    <xdr:to>
      <xdr:col>7</xdr:col>
      <xdr:colOff>782955</xdr:colOff>
      <xdr:row>29</xdr:row>
      <xdr:rowOff>53340</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xdr:colOff>
      <xdr:row>0</xdr:row>
      <xdr:rowOff>152400</xdr:rowOff>
    </xdr:from>
    <xdr:to>
      <xdr:col>10</xdr:col>
      <xdr:colOff>777239</xdr:colOff>
      <xdr:row>2</xdr:row>
      <xdr:rowOff>91440</xdr:rowOff>
    </xdr:to>
    <xdr:sp macro="" textlink="">
      <xdr:nvSpPr>
        <xdr:cNvPr id="3" name="Textfeld 5">
          <a:hlinkClick xmlns:r="http://schemas.openxmlformats.org/officeDocument/2006/relationships" r:id="rId2"/>
          <a:extLst>
            <a:ext uri="{FF2B5EF4-FFF2-40B4-BE49-F238E27FC236}">
              <a16:creationId xmlns:a16="http://schemas.microsoft.com/office/drawing/2014/main" id="{00000000-0008-0000-0400-000003000000}"/>
            </a:ext>
          </a:extLst>
        </xdr:cNvPr>
        <xdr:cNvSpPr txBox="1"/>
      </xdr:nvSpPr>
      <xdr:spPr>
        <a:xfrm>
          <a:off x="8526780" y="15240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22860</xdr:colOff>
      <xdr:row>1</xdr:row>
      <xdr:rowOff>0</xdr:rowOff>
    </xdr:from>
    <xdr:to>
      <xdr:col>9</xdr:col>
      <xdr:colOff>784859</xdr:colOff>
      <xdr:row>2</xdr:row>
      <xdr:rowOff>129540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7924800" y="18288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a:t>
          </a:r>
          <a:r>
            <a:rPr lang="de-DE" sz="1000" baseline="0">
              <a:solidFill>
                <a:schemeClr val="bg1"/>
              </a:solidFill>
              <a:latin typeface="Arial" panose="020B0604020202020204" pitchFamily="34" charset="0"/>
              <a:cs typeface="Arial" panose="020B0604020202020204" pitchFamily="34" charset="0"/>
            </a:rPr>
            <a:t> </a:t>
          </a:r>
          <a:r>
            <a:rPr lang="de-DE" sz="1000">
              <a:solidFill>
                <a:schemeClr val="bg1"/>
              </a:solidFill>
              <a:latin typeface="Arial" panose="020B0604020202020204" pitchFamily="34" charset="0"/>
              <a:cs typeface="Arial" panose="020B0604020202020204" pitchFamily="34" charset="0"/>
            </a:rPr>
            <a:t>Anleitung</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15240</xdr:colOff>
      <xdr:row>0</xdr:row>
      <xdr:rowOff>121920</xdr:rowOff>
    </xdr:from>
    <xdr:to>
      <xdr:col>6</xdr:col>
      <xdr:colOff>777239</xdr:colOff>
      <xdr:row>2</xdr:row>
      <xdr:rowOff>76200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7094220" y="12192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a:t>
          </a:r>
          <a:r>
            <a:rPr lang="de-DE" sz="1000" baseline="0">
              <a:solidFill>
                <a:schemeClr val="bg1"/>
              </a:solidFill>
              <a:latin typeface="Arial" panose="020B0604020202020204" pitchFamily="34" charset="0"/>
              <a:cs typeface="Arial" panose="020B0604020202020204" pitchFamily="34" charset="0"/>
            </a:rPr>
            <a:t> </a:t>
          </a:r>
          <a:r>
            <a:rPr lang="de-DE" sz="1000">
              <a:solidFill>
                <a:schemeClr val="bg1"/>
              </a:solidFill>
              <a:latin typeface="Arial" panose="020B0604020202020204" pitchFamily="34" charset="0"/>
              <a:cs typeface="Arial" panose="020B0604020202020204" pitchFamily="34" charset="0"/>
            </a:rPr>
            <a:t>Anleitung</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15240</xdr:colOff>
      <xdr:row>0</xdr:row>
      <xdr:rowOff>121920</xdr:rowOff>
    </xdr:from>
    <xdr:to>
      <xdr:col>6</xdr:col>
      <xdr:colOff>777239</xdr:colOff>
      <xdr:row>2</xdr:row>
      <xdr:rowOff>76200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7094220" y="12192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15240</xdr:colOff>
      <xdr:row>0</xdr:row>
      <xdr:rowOff>121920</xdr:rowOff>
    </xdr:from>
    <xdr:to>
      <xdr:col>6</xdr:col>
      <xdr:colOff>777239</xdr:colOff>
      <xdr:row>2</xdr:row>
      <xdr:rowOff>76200</xdr:rowOff>
    </xdr:to>
    <xdr:sp macro="" textlink="">
      <xdr:nvSpPr>
        <xdr:cNvPr id="2" name="Textfeld 5">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7094220" y="121920"/>
          <a:ext cx="1554479" cy="304800"/>
        </a:xfrm>
        <a:prstGeom prst="rect">
          <a:avLst/>
        </a:prstGeom>
        <a:solidFill>
          <a:srgbClr val="6A6A6A"/>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000">
              <a:solidFill>
                <a:schemeClr val="bg1"/>
              </a:solidFill>
              <a:latin typeface="Arial" panose="020B0604020202020204" pitchFamily="34" charset="0"/>
              <a:cs typeface="Arial" panose="020B0604020202020204" pitchFamily="34" charset="0"/>
            </a:rPr>
            <a:t>zurück zur Anleitung</a:t>
          </a:r>
        </a:p>
      </xdr:txBody>
    </xdr:sp>
    <xdr:clientData/>
  </xdr:twoCellAnchor>
</xdr:wsDr>
</file>

<file path=xl/theme/theme1.xml><?xml version="1.0" encoding="utf-8"?>
<a:theme xmlns:a="http://schemas.openxmlformats.org/drawingml/2006/main" name="Office">
  <a:themeElements>
    <a:clrScheme name="ifeu">
      <a:dk1>
        <a:sysClr val="windowText" lastClr="000000"/>
      </a:dk1>
      <a:lt1>
        <a:sysClr val="window" lastClr="FFFFFF"/>
      </a:lt1>
      <a:dk2>
        <a:srgbClr val="93C120"/>
      </a:dk2>
      <a:lt2>
        <a:srgbClr val="626B71"/>
      </a:lt2>
      <a:accent1>
        <a:srgbClr val="D2D12A"/>
      </a:accent1>
      <a:accent2>
        <a:srgbClr val="AE6C2D"/>
      </a:accent2>
      <a:accent3>
        <a:srgbClr val="EFD444"/>
      </a:accent3>
      <a:accent4>
        <a:srgbClr val="E98F00"/>
      </a:accent4>
      <a:accent5>
        <a:srgbClr val="BF303F"/>
      </a:accent5>
      <a:accent6>
        <a:srgbClr val="2F4E66"/>
      </a:accent6>
      <a:hlink>
        <a:srgbClr val="C7BA96"/>
      </a:hlink>
      <a:folHlink>
        <a:srgbClr val="9F598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lia.pelzeter@ifeu.de?subject=Frage%20zum%20Lebenszykluskosten-Rechn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s://www.nachhaltige-oeffentliche-pkw-beschaffung.de/"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transportenvironment.org/wp-content/uploads/2022/05/TE_LCA_Update-June.pdf" TargetMode="External"/><Relationship Id="rId13" Type="http://schemas.openxmlformats.org/officeDocument/2006/relationships/hyperlink" Target="https://www.umweltbundesamt.de/publikationen/analyse-der-umweltbilanz-von-kraftfahrzeugen" TargetMode="External"/><Relationship Id="rId3" Type="http://schemas.openxmlformats.org/officeDocument/2006/relationships/hyperlink" Target="https://ag-energiebilanzen.de/energieeinheitenumrechner/" TargetMode="External"/><Relationship Id="rId7" Type="http://schemas.openxmlformats.org/officeDocument/2006/relationships/hyperlink" Target="https://www.adac.de/verkehr/tanken-kraftstoff-antrieb/deutschland/kraftstoffpreisentwicklung/" TargetMode="External"/><Relationship Id="rId12" Type="http://schemas.openxmlformats.org/officeDocument/2006/relationships/hyperlink" Target="https://nextmove.de/analyse-zum-deutschen-elektroauto-markt/" TargetMode="External"/><Relationship Id="rId2" Type="http://schemas.openxmlformats.org/officeDocument/2006/relationships/hyperlink" Target="https://www.umweltbundesamt.de/themen/klima-energie/klimaschutz-energiepolitik-in-deutschland/szenarien-fuer-die-klimaschutz-energiepolitik/integrierte-energie-treibhausgasprojektionen/" TargetMode="External"/><Relationship Id="rId1" Type="http://schemas.openxmlformats.org/officeDocument/2006/relationships/hyperlink" Target="https://www.ifeu.de/methoden-tools/modelle/tremod/" TargetMode="External"/><Relationship Id="rId6" Type="http://schemas.openxmlformats.org/officeDocument/2006/relationships/hyperlink" Target="https://www.adac.de/verkehr/tanken-kraftstoff-antrieb/alternative-antriebe/erdgas/" TargetMode="External"/><Relationship Id="rId11" Type="http://schemas.openxmlformats.org/officeDocument/2006/relationships/hyperlink" Target="https://www.isi.fraunhofer.de/content/dam/isi/dokumente/cce/2021/BMU_Kurzpapier_UF_final.pdf" TargetMode="External"/><Relationship Id="rId5" Type="http://schemas.openxmlformats.org/officeDocument/2006/relationships/hyperlink" Target="https://www.bdew.de/service/daten-und-grafiken/bdew-strompreisanalyse/" TargetMode="External"/><Relationship Id="rId15" Type="http://schemas.openxmlformats.org/officeDocument/2006/relationships/drawing" Target="../drawings/drawing15.xml"/><Relationship Id="rId10" Type="http://schemas.openxmlformats.org/officeDocument/2006/relationships/hyperlink" Target="https://www.nachhaltige-oeffentliche-pkw-beschaffung.de/assets/downloads/Abschlussbericht_Umweltvertraegliche_Pkw-Beschaffung_ifeu.pdf" TargetMode="External"/><Relationship Id="rId4" Type="http://schemas.openxmlformats.org/officeDocument/2006/relationships/hyperlink" Target="https://www.beuc.eu/publications/beuc-x-2016-121_low_carbon_cars_in_the_2020s-report.pdf" TargetMode="External"/><Relationship Id="rId9" Type="http://schemas.openxmlformats.org/officeDocument/2006/relationships/hyperlink" Target="https://www.umweltbundesamt.de/sites/default/files/medien/1410/publikationen/2020-12-21_methodenkonvention_3_1_kostensaetze.pdf" TargetMode="External"/><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59"/>
  <sheetViews>
    <sheetView showGridLines="0" zoomScaleNormal="100" workbookViewId="0"/>
  </sheetViews>
  <sheetFormatPr baseColWidth="10" defaultColWidth="11.5546875" defaultRowHeight="13.8" x14ac:dyDescent="0.25"/>
  <cols>
    <col min="1" max="1" width="4.109375" style="1" customWidth="1"/>
    <col min="2" max="2" width="12.33203125" style="1" customWidth="1"/>
    <col min="3" max="3" width="3.44140625" style="1" customWidth="1"/>
    <col min="4" max="4" width="22.44140625" style="1" customWidth="1"/>
    <col min="5" max="9" width="11.5546875" style="1"/>
    <col min="10" max="10" width="17.5546875" style="1" customWidth="1"/>
    <col min="11" max="16384" width="11.5546875" style="1"/>
  </cols>
  <sheetData>
    <row r="2" spans="2:10" ht="15.6" x14ac:dyDescent="0.3">
      <c r="B2" s="16" t="s">
        <v>0</v>
      </c>
      <c r="C2" s="16"/>
      <c r="D2" s="16"/>
      <c r="E2" s="158"/>
      <c r="F2" s="159"/>
      <c r="G2" s="16"/>
      <c r="H2" s="16"/>
      <c r="I2" s="16"/>
      <c r="J2" s="302" t="s">
        <v>1</v>
      </c>
    </row>
    <row r="3" spans="2:10" x14ac:dyDescent="0.25">
      <c r="D3" s="127"/>
      <c r="E3" s="127"/>
      <c r="F3" s="127"/>
      <c r="G3" s="127"/>
      <c r="H3" s="127"/>
      <c r="I3" s="127"/>
      <c r="J3" s="127"/>
    </row>
    <row r="4" spans="2:10" ht="76.2" customHeight="1" x14ac:dyDescent="0.25">
      <c r="D4" s="127"/>
      <c r="E4" s="127"/>
      <c r="F4" s="127"/>
      <c r="G4" s="127"/>
      <c r="H4" s="127"/>
      <c r="I4" s="127"/>
      <c r="J4" s="127"/>
    </row>
    <row r="5" spans="2:10" ht="124.95" customHeight="1" x14ac:dyDescent="0.25">
      <c r="B5" s="332" t="s">
        <v>2</v>
      </c>
      <c r="C5" s="332"/>
      <c r="D5" s="332"/>
      <c r="E5" s="332"/>
      <c r="F5" s="332"/>
      <c r="G5" s="332"/>
      <c r="H5" s="332"/>
      <c r="I5" s="332"/>
      <c r="J5" s="332"/>
    </row>
    <row r="6" spans="2:10" ht="11.4" customHeight="1" x14ac:dyDescent="0.25">
      <c r="B6" s="276"/>
      <c r="C6" s="276"/>
      <c r="D6" s="276"/>
      <c r="E6" s="276"/>
      <c r="F6" s="276"/>
      <c r="G6" s="276"/>
      <c r="H6" s="276"/>
      <c r="I6" s="276"/>
      <c r="J6" s="276"/>
    </row>
    <row r="7" spans="2:10" x14ac:dyDescent="0.25">
      <c r="B7" s="16" t="s">
        <v>3</v>
      </c>
      <c r="C7" s="16"/>
      <c r="D7" s="16"/>
      <c r="E7" s="16"/>
      <c r="F7" s="16"/>
      <c r="G7" s="16"/>
      <c r="H7" s="16"/>
      <c r="I7" s="16"/>
      <c r="J7" s="16"/>
    </row>
    <row r="8" spans="2:10" x14ac:dyDescent="0.25">
      <c r="D8" s="127"/>
      <c r="E8" s="127"/>
      <c r="F8" s="127"/>
      <c r="G8" s="127"/>
      <c r="H8" s="127"/>
      <c r="I8" s="127"/>
      <c r="J8" s="127"/>
    </row>
    <row r="9" spans="2:10" ht="50.4" customHeight="1" x14ac:dyDescent="0.25">
      <c r="D9" s="276"/>
      <c r="E9" s="276"/>
      <c r="F9" s="333" t="s">
        <v>4</v>
      </c>
      <c r="G9" s="334"/>
      <c r="H9" s="334"/>
      <c r="I9" s="334"/>
      <c r="J9" s="334"/>
    </row>
    <row r="10" spans="2:10" ht="4.2" customHeight="1" x14ac:dyDescent="0.25">
      <c r="D10" s="276"/>
      <c r="E10" s="276"/>
      <c r="F10" s="190"/>
      <c r="G10" s="190"/>
      <c r="H10" s="190"/>
      <c r="I10" s="190"/>
      <c r="J10" s="190"/>
    </row>
    <row r="11" spans="2:10" ht="13.95" customHeight="1" x14ac:dyDescent="0.25">
      <c r="D11" s="276"/>
      <c r="E11" s="276"/>
      <c r="F11" s="335" t="s">
        <v>5</v>
      </c>
      <c r="G11" s="336"/>
      <c r="H11" s="336"/>
      <c r="I11" s="336"/>
      <c r="J11" s="336"/>
    </row>
    <row r="12" spans="2:10" ht="13.95" customHeight="1" x14ac:dyDescent="0.25">
      <c r="D12" s="276"/>
      <c r="E12" s="276"/>
      <c r="F12" s="336"/>
      <c r="G12" s="336"/>
      <c r="H12" s="336"/>
      <c r="I12" s="336"/>
      <c r="J12" s="336"/>
    </row>
    <row r="13" spans="2:10" ht="18.600000000000001" customHeight="1" x14ac:dyDescent="0.25">
      <c r="D13" s="276"/>
      <c r="E13" s="276"/>
      <c r="F13" s="336"/>
      <c r="G13" s="336"/>
      <c r="H13" s="336"/>
      <c r="I13" s="336"/>
      <c r="J13" s="336"/>
    </row>
    <row r="14" spans="2:10" ht="4.2" customHeight="1" x14ac:dyDescent="0.25">
      <c r="D14" s="276"/>
      <c r="E14" s="276"/>
      <c r="F14" s="190"/>
      <c r="G14" s="190"/>
      <c r="H14" s="190"/>
      <c r="I14" s="190"/>
      <c r="J14" s="190"/>
    </row>
    <row r="15" spans="2:10" ht="14.4" customHeight="1" x14ac:dyDescent="0.25">
      <c r="D15" s="276"/>
      <c r="E15" s="276"/>
      <c r="F15" s="337" t="s">
        <v>6</v>
      </c>
      <c r="G15" s="338"/>
      <c r="H15" s="338"/>
      <c r="I15" s="338"/>
      <c r="J15" s="338"/>
    </row>
    <row r="16" spans="2:10" ht="73.95" customHeight="1" x14ac:dyDescent="0.25">
      <c r="D16" s="276"/>
      <c r="E16" s="276"/>
      <c r="F16" s="338"/>
      <c r="G16" s="338"/>
      <c r="H16" s="338"/>
      <c r="I16" s="338"/>
      <c r="J16" s="338"/>
    </row>
    <row r="17" spans="2:10" ht="4.2" customHeight="1" x14ac:dyDescent="0.25">
      <c r="D17" s="276"/>
      <c r="E17" s="276"/>
      <c r="F17" s="275"/>
      <c r="G17" s="275"/>
      <c r="H17" s="275"/>
      <c r="I17" s="275"/>
      <c r="J17" s="275"/>
    </row>
    <row r="18" spans="2:10" ht="40.950000000000003" customHeight="1" x14ac:dyDescent="0.25">
      <c r="D18" s="276"/>
      <c r="E18" s="276"/>
      <c r="F18" s="339" t="s">
        <v>7</v>
      </c>
      <c r="G18" s="340"/>
      <c r="H18" s="340"/>
      <c r="I18" s="340"/>
      <c r="J18" s="340"/>
    </row>
    <row r="19" spans="2:10" ht="4.2" customHeight="1" x14ac:dyDescent="0.25">
      <c r="D19" s="276"/>
      <c r="E19" s="276"/>
      <c r="F19" s="275"/>
      <c r="G19" s="275"/>
      <c r="H19" s="275"/>
      <c r="I19" s="275"/>
      <c r="J19" s="275"/>
    </row>
    <row r="20" spans="2:10" ht="13.95" customHeight="1" x14ac:dyDescent="0.25">
      <c r="D20" s="276"/>
      <c r="E20" s="276"/>
      <c r="F20" s="341" t="s">
        <v>8</v>
      </c>
      <c r="G20" s="341"/>
      <c r="H20" s="341"/>
      <c r="I20" s="341"/>
      <c r="J20" s="341"/>
    </row>
    <row r="21" spans="2:10" ht="13.95" customHeight="1" x14ac:dyDescent="0.25">
      <c r="D21" s="276"/>
      <c r="E21" s="276"/>
      <c r="F21" s="341"/>
      <c r="G21" s="341"/>
      <c r="H21" s="341"/>
      <c r="I21" s="341"/>
      <c r="J21" s="341"/>
    </row>
    <row r="22" spans="2:10" ht="22.95" customHeight="1" x14ac:dyDescent="0.25">
      <c r="D22" s="276"/>
      <c r="E22" s="276"/>
      <c r="F22" s="341"/>
      <c r="G22" s="341"/>
      <c r="H22" s="341"/>
      <c r="I22" s="341"/>
      <c r="J22" s="341"/>
    </row>
    <row r="23" spans="2:10" ht="4.2" customHeight="1" x14ac:dyDescent="0.25">
      <c r="D23" s="276"/>
      <c r="E23" s="276"/>
      <c r="F23" s="275"/>
      <c r="G23" s="275"/>
      <c r="H23" s="275"/>
      <c r="I23" s="275"/>
      <c r="J23" s="275"/>
    </row>
    <row r="24" spans="2:10" x14ac:dyDescent="0.25">
      <c r="D24" s="276"/>
      <c r="E24" s="276"/>
      <c r="F24" s="342" t="s">
        <v>9</v>
      </c>
      <c r="G24" s="342"/>
      <c r="H24" s="342"/>
      <c r="I24" s="342"/>
      <c r="J24" s="342"/>
    </row>
    <row r="25" spans="2:10" x14ac:dyDescent="0.25">
      <c r="D25" s="276"/>
      <c r="E25" s="276"/>
      <c r="F25" s="342"/>
      <c r="G25" s="342"/>
      <c r="H25" s="342"/>
      <c r="I25" s="342"/>
      <c r="J25" s="342"/>
    </row>
    <row r="26" spans="2:10" ht="4.2" customHeight="1" x14ac:dyDescent="0.25">
      <c r="D26" s="276"/>
      <c r="E26" s="276"/>
      <c r="F26" s="275"/>
      <c r="G26" s="275"/>
      <c r="H26" s="275"/>
      <c r="I26" s="275"/>
      <c r="J26" s="275"/>
    </row>
    <row r="27" spans="2:10" ht="7.2" customHeight="1" x14ac:dyDescent="0.25">
      <c r="D27" s="276"/>
      <c r="E27" s="276"/>
      <c r="F27" s="331"/>
      <c r="G27" s="331"/>
      <c r="H27" s="331"/>
      <c r="I27" s="331"/>
      <c r="J27" s="331"/>
    </row>
    <row r="28" spans="2:10" ht="13.95" customHeight="1" x14ac:dyDescent="0.25">
      <c r="D28" s="276"/>
      <c r="E28" s="276"/>
      <c r="F28" s="343" t="s">
        <v>10</v>
      </c>
      <c r="G28" s="343"/>
      <c r="H28" s="343"/>
      <c r="I28" s="343"/>
      <c r="J28" s="343"/>
    </row>
    <row r="29" spans="2:10" ht="13.95" customHeight="1" x14ac:dyDescent="0.25">
      <c r="D29" s="276"/>
      <c r="E29" s="276"/>
      <c r="F29" s="343"/>
      <c r="G29" s="343"/>
      <c r="H29" s="343"/>
      <c r="I29" s="343"/>
      <c r="J29" s="343"/>
    </row>
    <row r="30" spans="2:10" ht="6.6" customHeight="1" x14ac:dyDescent="0.25">
      <c r="D30" s="276"/>
      <c r="E30" s="276"/>
      <c r="F30" s="343"/>
      <c r="G30" s="343"/>
      <c r="H30" s="343"/>
      <c r="I30" s="343"/>
      <c r="J30" s="343"/>
    </row>
    <row r="31" spans="2:10" ht="10.199999999999999" customHeight="1" x14ac:dyDescent="0.25">
      <c r="D31" s="276"/>
      <c r="E31" s="276"/>
      <c r="F31" s="332"/>
      <c r="G31" s="332"/>
      <c r="H31" s="332"/>
      <c r="I31" s="332"/>
      <c r="J31" s="332"/>
    </row>
    <row r="32" spans="2:10" x14ac:dyDescent="0.25">
      <c r="B32" s="281" t="s">
        <v>11</v>
      </c>
      <c r="C32" s="282"/>
      <c r="D32" s="283"/>
      <c r="E32" s="283"/>
      <c r="F32" s="282"/>
      <c r="G32" s="283"/>
      <c r="H32" s="283"/>
      <c r="I32" s="284"/>
      <c r="J32" s="284"/>
    </row>
    <row r="33" spans="2:11" ht="6" customHeight="1" x14ac:dyDescent="0.25">
      <c r="D33" s="276"/>
      <c r="E33" s="276"/>
      <c r="F33" s="276"/>
      <c r="G33" s="276"/>
      <c r="H33" s="276"/>
      <c r="I33" s="276"/>
      <c r="J33" s="276"/>
    </row>
    <row r="34" spans="2:11" x14ac:dyDescent="0.25">
      <c r="B34" s="16" t="s">
        <v>12</v>
      </c>
      <c r="C34" s="16"/>
      <c r="D34" s="16"/>
      <c r="E34" s="16"/>
      <c r="F34" s="16"/>
      <c r="G34" s="16"/>
      <c r="H34" s="16"/>
      <c r="I34" s="16"/>
      <c r="J34" s="16"/>
    </row>
    <row r="35" spans="2:11" ht="14.4" thickBot="1" x14ac:dyDescent="0.3">
      <c r="D35" s="127"/>
      <c r="E35" s="127"/>
      <c r="F35" s="127"/>
      <c r="G35" s="127"/>
      <c r="H35" s="127"/>
      <c r="I35" s="127"/>
      <c r="J35" s="127"/>
    </row>
    <row r="36" spans="2:11" ht="14.4" customHeight="1" thickBot="1" x14ac:dyDescent="0.3">
      <c r="B36" s="128"/>
      <c r="C36" s="125"/>
      <c r="D36" s="332" t="s">
        <v>13</v>
      </c>
      <c r="E36" s="332"/>
      <c r="F36" s="332"/>
      <c r="G36" s="332"/>
      <c r="H36" s="332"/>
      <c r="I36" s="332"/>
      <c r="J36" s="332"/>
    </row>
    <row r="37" spans="2:11" ht="14.4" thickBot="1" x14ac:dyDescent="0.3">
      <c r="B37" s="129"/>
      <c r="C37" s="125"/>
      <c r="D37" s="12"/>
      <c r="E37" s="140"/>
      <c r="F37" s="276"/>
      <c r="G37" s="276"/>
      <c r="H37" s="276"/>
      <c r="I37" s="276"/>
      <c r="J37" s="276"/>
    </row>
    <row r="38" spans="2:11" ht="14.4" customHeight="1" thickBot="1" x14ac:dyDescent="0.3">
      <c r="B38" s="272"/>
      <c r="C38" s="125"/>
      <c r="D38" s="331" t="s">
        <v>14</v>
      </c>
      <c r="E38" s="331"/>
      <c r="F38" s="331"/>
      <c r="G38" s="331"/>
      <c r="H38" s="331"/>
      <c r="I38" s="331"/>
      <c r="J38" s="331"/>
    </row>
    <row r="39" spans="2:11" ht="14.4" customHeight="1" thickBot="1" x14ac:dyDescent="0.3">
      <c r="D39" s="331"/>
      <c r="E39" s="331"/>
      <c r="F39" s="331"/>
      <c r="G39" s="331"/>
      <c r="H39" s="331"/>
      <c r="I39" s="331"/>
      <c r="J39" s="331"/>
    </row>
    <row r="40" spans="2:11" ht="14.4" thickBot="1" x14ac:dyDescent="0.3">
      <c r="B40" s="129"/>
      <c r="C40" s="125"/>
      <c r="D40" s="12"/>
      <c r="E40" s="140"/>
      <c r="F40" s="276"/>
      <c r="G40" s="276"/>
      <c r="H40" s="276"/>
      <c r="I40" s="276"/>
      <c r="J40" s="276"/>
    </row>
    <row r="41" spans="2:11" ht="19.5" customHeight="1" thickBot="1" x14ac:dyDescent="0.3">
      <c r="B41" s="191" t="s">
        <v>15</v>
      </c>
      <c r="C41" s="125"/>
      <c r="D41" s="344" t="s">
        <v>16</v>
      </c>
      <c r="E41" s="344"/>
      <c r="F41" s="344"/>
      <c r="G41" s="344"/>
      <c r="H41" s="344"/>
      <c r="I41" s="344"/>
      <c r="J41" s="344"/>
    </row>
    <row r="42" spans="2:11" x14ac:dyDescent="0.25">
      <c r="B42" s="125"/>
      <c r="C42" s="125"/>
      <c r="D42" s="12"/>
      <c r="E42" s="140"/>
      <c r="F42" s="141"/>
      <c r="G42" s="276"/>
      <c r="H42" s="276"/>
      <c r="I42" s="276"/>
      <c r="J42" s="276"/>
    </row>
    <row r="43" spans="2:11" ht="14.4" customHeight="1" x14ac:dyDescent="0.25">
      <c r="B43" s="345" t="s">
        <v>17</v>
      </c>
      <c r="C43" s="115"/>
      <c r="D43" s="332" t="s">
        <v>18</v>
      </c>
      <c r="E43" s="332"/>
      <c r="F43" s="332"/>
      <c r="G43" s="332"/>
      <c r="H43" s="332"/>
      <c r="I43" s="332"/>
      <c r="J43" s="332"/>
    </row>
    <row r="44" spans="2:11" ht="14.4" x14ac:dyDescent="0.25">
      <c r="B44" s="345"/>
      <c r="C44" s="115"/>
      <c r="D44" s="332"/>
      <c r="E44" s="332"/>
      <c r="F44" s="332"/>
      <c r="G44" s="332"/>
      <c r="H44" s="332"/>
      <c r="I44" s="332"/>
      <c r="J44" s="332"/>
    </row>
    <row r="45" spans="2:11" x14ac:dyDescent="0.25">
      <c r="D45" s="124"/>
      <c r="E45" s="124"/>
      <c r="F45" s="126"/>
      <c r="G45" s="126"/>
      <c r="H45" s="126"/>
      <c r="I45" s="126"/>
      <c r="J45" s="126"/>
    </row>
    <row r="46" spans="2:11" ht="45" customHeight="1" x14ac:dyDescent="0.25">
      <c r="B46" s="332" t="s">
        <v>19</v>
      </c>
      <c r="C46" s="332"/>
      <c r="D46" s="332"/>
      <c r="E46" s="332"/>
      <c r="F46" s="332"/>
      <c r="G46" s="332"/>
      <c r="H46" s="332"/>
      <c r="I46" s="332"/>
      <c r="J46" s="332"/>
      <c r="K46" s="119"/>
    </row>
    <row r="47" spans="2:11" x14ac:dyDescent="0.25">
      <c r="D47" s="126"/>
      <c r="E47" s="126"/>
      <c r="F47" s="126"/>
      <c r="G47" s="126"/>
      <c r="H47" s="126"/>
      <c r="I47" s="126"/>
      <c r="J47" s="126"/>
    </row>
    <row r="48" spans="2:11" x14ac:dyDescent="0.25">
      <c r="B48" s="16" t="s">
        <v>20</v>
      </c>
      <c r="C48" s="16"/>
      <c r="D48" s="16"/>
      <c r="E48" s="16"/>
      <c r="F48" s="16"/>
      <c r="G48" s="16"/>
      <c r="H48" s="16"/>
      <c r="I48" s="16"/>
      <c r="J48" s="16"/>
    </row>
    <row r="49" spans="1:10" x14ac:dyDescent="0.25">
      <c r="D49" s="124"/>
      <c r="E49" s="124"/>
      <c r="F49" s="124"/>
      <c r="G49" s="124"/>
      <c r="H49" s="124"/>
      <c r="I49" s="124"/>
      <c r="J49" s="124"/>
    </row>
    <row r="50" spans="1:10" ht="13.95" customHeight="1" x14ac:dyDescent="0.25">
      <c r="B50" s="332" t="s">
        <v>21</v>
      </c>
      <c r="C50" s="332"/>
      <c r="D50" s="332"/>
      <c r="E50" s="332"/>
      <c r="F50" s="332"/>
      <c r="G50" s="332"/>
      <c r="H50" s="332"/>
      <c r="I50" s="332"/>
      <c r="J50" s="332"/>
    </row>
    <row r="51" spans="1:10" x14ac:dyDescent="0.25">
      <c r="D51" s="126"/>
      <c r="E51" s="126"/>
      <c r="F51" s="126"/>
      <c r="G51" s="126"/>
      <c r="H51" s="126"/>
      <c r="I51" s="126"/>
      <c r="J51" s="126"/>
    </row>
    <row r="52" spans="1:10" x14ac:dyDescent="0.25">
      <c r="B52" s="16" t="s">
        <v>22</v>
      </c>
      <c r="C52" s="5"/>
      <c r="D52" s="17"/>
      <c r="E52" s="17"/>
      <c r="F52" s="17"/>
      <c r="G52" s="17"/>
      <c r="H52" s="17"/>
      <c r="I52" s="17"/>
      <c r="J52" s="17"/>
    </row>
    <row r="53" spans="1:10" x14ac:dyDescent="0.25">
      <c r="A53" s="18"/>
      <c r="B53" s="18"/>
    </row>
    <row r="54" spans="1:10" x14ac:dyDescent="0.25">
      <c r="A54" s="18"/>
      <c r="B54" s="18" t="s">
        <v>23</v>
      </c>
    </row>
    <row r="55" spans="1:10" x14ac:dyDescent="0.25">
      <c r="A55" s="18"/>
      <c r="B55" s="18" t="s">
        <v>24</v>
      </c>
    </row>
    <row r="56" spans="1:10" x14ac:dyDescent="0.25">
      <c r="A56" s="18"/>
      <c r="B56" s="18" t="s">
        <v>25</v>
      </c>
    </row>
    <row r="57" spans="1:10" x14ac:dyDescent="0.25">
      <c r="A57" s="18"/>
      <c r="B57" s="299" t="s">
        <v>26</v>
      </c>
    </row>
    <row r="58" spans="1:10" x14ac:dyDescent="0.25">
      <c r="A58" s="18"/>
      <c r="B58" s="18"/>
    </row>
    <row r="59" spans="1:10" x14ac:dyDescent="0.25">
      <c r="A59" s="18"/>
      <c r="B59" s="18"/>
    </row>
  </sheetData>
  <sheetProtection sheet="1" objects="1" scenarios="1"/>
  <mergeCells count="17">
    <mergeCell ref="D41:J41"/>
    <mergeCell ref="B43:B44"/>
    <mergeCell ref="D43:J44"/>
    <mergeCell ref="B46:J46"/>
    <mergeCell ref="B50:J50"/>
    <mergeCell ref="D38:J39"/>
    <mergeCell ref="B5:J5"/>
    <mergeCell ref="F9:J9"/>
    <mergeCell ref="F11:J13"/>
    <mergeCell ref="F15:J16"/>
    <mergeCell ref="F18:J18"/>
    <mergeCell ref="F20:J22"/>
    <mergeCell ref="F24:J25"/>
    <mergeCell ref="F27:J27"/>
    <mergeCell ref="F28:J30"/>
    <mergeCell ref="F31:J31"/>
    <mergeCell ref="D36:J36"/>
  </mergeCells>
  <hyperlinks>
    <hyperlink ref="F9:J9" location="Input_Projekt!A1" display="Geben Sie die übergeordneten Informationen zu Ihrem Beschaffungsfall ein. Hier können Informationen wie die erwartete jährliche Laufleistung, die Art der Beschaffung (Kauf/Leasing) und weitere Informationen eingegeben werden." xr:uid="{00000000-0004-0000-0000-000000000000}"/>
    <hyperlink ref="F11:J13" location="Eingabe_Angebotswerte!A1" display="Fügen Sie die abgefragten Daten aus den Angeboten für alle Pkw ein. Die Datenabfrage wird der Ausschreibung beigefügt und umfasst u.a. den Preis, Verbrauchs- und Emissionsangaben und die Batteriegröße." xr:uid="{00000000-0004-0000-0000-000001000000}"/>
    <hyperlink ref="F15:J16" location="Grunddaten!A1" display="Das Tool prüft bei Eingabe, ob die für die Lebenszykluskosten-Berechnung benötigten Werte der angebotenen Fahrzeuge Ihrer Beschaffungsvorschrift entsprechen. Abweichungen werden durch eine rote Markierung im Tabellenblatt &quot;Eingabe_Angebotswerte&quot; gekennzei" xr:uid="{00000000-0004-0000-0000-000002000000}"/>
    <hyperlink ref="F18:J18" location="Grunddaten!A1" display="Informieren Sie sich über die zur Berechnung verwendeten Energie- und Umweltkosten und ändern Sie diese ggf. entsprechend aktueller Vorgaben." xr:uid="{00000000-0004-0000-0000-000003000000}"/>
    <hyperlink ref="F20:J22" location="Ergebnisse_LZK!A1" display="Vergleichen Sie die Lebenszykluskosten der verschiedenen Angebote im Tabellenformat und in einer Vergleichsgrafik. Das Ranking der Angebote wird hier direkt angezeigt. " xr:uid="{00000000-0004-0000-0000-000004000000}"/>
    <hyperlink ref="F24:J25" location="Ergebnisse_Umweltkosten!A1" display="Als Teilergebnis der Lebenszykluskosten werden hier ausschließlich die externen Umweltkosten dargestellt und entsprechend verglichen." xr:uid="{00000000-0004-0000-0000-000005000000}"/>
    <hyperlink ref="B32:H32" location="Quellen!A1" display="Im Tabellenblatt &quot;Quellen&quot; finden Sie Quellenangaben zu verwendeten Werten und Annahmen." xr:uid="{00000000-0004-0000-0000-000006000000}"/>
    <hyperlink ref="B57" r:id="rId1" display="Tel.: +49 (0) 30 284 45 78-23 | Bernhard.Bruch@ifeu.de " xr:uid="{00000000-0004-0000-0000-000007000000}"/>
  </hyperlinks>
  <pageMargins left="0.25" right="0.25" top="0.75" bottom="0.75" header="0.3" footer="0.3"/>
  <pageSetup paperSize="256" scale="83" orientation="portrait"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63"/>
  <sheetViews>
    <sheetView showGridLines="0" zoomScaleNormal="100" workbookViewId="0"/>
  </sheetViews>
  <sheetFormatPr baseColWidth="10" defaultColWidth="11.5546875" defaultRowHeight="13.8" x14ac:dyDescent="0.25"/>
  <cols>
    <col min="1" max="1" width="5.33203125" style="1" customWidth="1"/>
    <col min="2" max="2" width="61.6640625" style="1" customWidth="1"/>
    <col min="3" max="3" width="17.6640625" style="1" customWidth="1"/>
    <col min="4" max="4" width="18.33203125" style="1" customWidth="1"/>
    <col min="5" max="5" width="11.5546875" style="1"/>
    <col min="6" max="6" width="25.33203125" style="1" hidden="1" customWidth="1"/>
    <col min="7" max="16384" width="11.5546875" style="1"/>
  </cols>
  <sheetData>
    <row r="1" spans="1:6" x14ac:dyDescent="0.25">
      <c r="E1" s="137"/>
      <c r="F1" s="137"/>
    </row>
    <row r="2" spans="1:6" x14ac:dyDescent="0.25">
      <c r="B2" s="2" t="s">
        <v>216</v>
      </c>
      <c r="E2" s="118" t="s">
        <v>28</v>
      </c>
      <c r="F2" s="137"/>
    </row>
    <row r="3" spans="1:6" x14ac:dyDescent="0.25">
      <c r="E3" s="137"/>
      <c r="F3" s="137"/>
    </row>
    <row r="4" spans="1:6" x14ac:dyDescent="0.25">
      <c r="B4" s="3" t="s">
        <v>183</v>
      </c>
      <c r="C4" s="3"/>
      <c r="D4" s="3"/>
      <c r="E4" s="137"/>
      <c r="F4" s="137"/>
    </row>
    <row r="5" spans="1:6" x14ac:dyDescent="0.25">
      <c r="E5" s="137"/>
      <c r="F5" s="137" t="str">
        <f>IF(Antriebsart4="Vollelektrisch (BEV)","Strom","nicht verfügbar")</f>
        <v>nicht verfügbar</v>
      </c>
    </row>
    <row r="6" spans="1:6" x14ac:dyDescent="0.25">
      <c r="B6" s="2" t="s">
        <v>60</v>
      </c>
      <c r="C6" s="56">
        <v>4</v>
      </c>
      <c r="E6" s="137"/>
      <c r="F6" s="137" t="str">
        <f>IF(OR(Antriebsart4="Verbrenner",Antriebsart4="Plug-In-Hybrid (PHEV)"),"Diesel","nicht verfügbar")</f>
        <v>Diesel</v>
      </c>
    </row>
    <row r="7" spans="1:6" x14ac:dyDescent="0.25">
      <c r="B7" s="1" t="s">
        <v>69</v>
      </c>
      <c r="C7" s="114" t="str">
        <f>IF(Anbieter4=0,"",Anbieter4)</f>
        <v>D</v>
      </c>
      <c r="E7" s="137"/>
      <c r="F7" s="137" t="str">
        <f>IF(OR(Antriebsart4="Verbrenner",Antriebsart4="Plug-In-Hybrid (PHEV)"),"Benzin","nicht verfügbar")</f>
        <v>Benzin</v>
      </c>
    </row>
    <row r="8" spans="1:6" x14ac:dyDescent="0.25">
      <c r="C8" s="114"/>
      <c r="E8" s="137"/>
      <c r="F8" s="137" t="str">
        <f>IF(Antriebsart4="Verbrenner","Erdgas (CNG)","nicht verfügbar")</f>
        <v>nicht verfügbar</v>
      </c>
    </row>
    <row r="9" spans="1:6" x14ac:dyDescent="0.25">
      <c r="B9" s="2" t="s">
        <v>184</v>
      </c>
      <c r="C9" s="114"/>
      <c r="E9" s="137"/>
      <c r="F9" s="137"/>
    </row>
    <row r="10" spans="1:6" x14ac:dyDescent="0.25">
      <c r="B10" s="1" t="s">
        <v>185</v>
      </c>
      <c r="C10" s="114" t="str">
        <f>IF(Hersteller4=0,"",Hersteller4)</f>
        <v>Kia</v>
      </c>
      <c r="D10" s="57"/>
      <c r="E10" s="137"/>
      <c r="F10" s="137"/>
    </row>
    <row r="11" spans="1:6" x14ac:dyDescent="0.25">
      <c r="B11" s="1" t="s">
        <v>81</v>
      </c>
      <c r="C11" s="114" t="str">
        <f>IF(Modell4=0,"",Modell4)</f>
        <v>Niro 1.6 GDI</v>
      </c>
      <c r="D11" s="57"/>
      <c r="E11" s="137"/>
      <c r="F11" s="137"/>
    </row>
    <row r="12" spans="1:6" ht="43.95" customHeight="1" x14ac:dyDescent="0.25">
      <c r="B12" s="58" t="s">
        <v>186</v>
      </c>
      <c r="C12" s="114" t="str">
        <f>IF(Zusatzinfo4=0,"",Zusatzinfo4)</f>
        <v xml:space="preserve">PlugIn-Hybrid Edition 7 DCT6 </v>
      </c>
      <c r="D12" s="57"/>
      <c r="E12" s="137"/>
      <c r="F12" s="137"/>
    </row>
    <row r="13" spans="1:6" x14ac:dyDescent="0.25">
      <c r="B13" s="59" t="s">
        <v>61</v>
      </c>
      <c r="C13" s="114" t="str">
        <f>IF(Antriebsart4=0,"",Antriebsart4)</f>
        <v>Plug-in-Hybrid (PHEV)</v>
      </c>
      <c r="E13" s="137"/>
      <c r="F13" s="137"/>
    </row>
    <row r="14" spans="1:6" x14ac:dyDescent="0.25">
      <c r="B14" s="2" t="s">
        <v>65</v>
      </c>
      <c r="C14" s="114" t="str">
        <f>IF(Energie4=0,"",Energie4)</f>
        <v>Benzin</v>
      </c>
      <c r="D14" s="99"/>
      <c r="E14" s="137"/>
      <c r="F14" s="137"/>
    </row>
    <row r="15" spans="1:6" s="137" customFormat="1" ht="14.4" x14ac:dyDescent="0.25">
      <c r="A15" s="138"/>
      <c r="C15" s="139"/>
    </row>
    <row r="16" spans="1:6" x14ac:dyDescent="0.25">
      <c r="B16" s="3" t="s">
        <v>187</v>
      </c>
      <c r="C16" s="3"/>
      <c r="D16" s="3"/>
      <c r="E16" s="137"/>
      <c r="F16" s="137"/>
    </row>
    <row r="17" spans="1:6" x14ac:dyDescent="0.25">
      <c r="B17" s="69"/>
      <c r="C17" s="69"/>
      <c r="D17" s="69"/>
      <c r="E17" s="137"/>
      <c r="F17" s="137"/>
    </row>
    <row r="18" spans="1:6" x14ac:dyDescent="0.25">
      <c r="B18" s="75" t="s">
        <v>188</v>
      </c>
      <c r="C18" s="325">
        <f>0.0057*(ReichwPHEV4/23)^3-0.0838*(ReichwPHEV4/23)^2+0.4261*(ReichwPHEV4/23)+ 0.1633</f>
        <v>0.80577341168735084</v>
      </c>
      <c r="D18" s="200"/>
      <c r="E18" s="137"/>
      <c r="F18" s="137"/>
    </row>
    <row r="19" spans="1:6" x14ac:dyDescent="0.25">
      <c r="B19" s="1" t="s">
        <v>189</v>
      </c>
      <c r="C19" s="326">
        <f>Verbrauch4/(1-0.9*C18)</f>
        <v>4.7306456004955519</v>
      </c>
      <c r="D19" s="7" t="s">
        <v>100</v>
      </c>
      <c r="E19" s="137"/>
      <c r="F19" s="137"/>
    </row>
    <row r="20" spans="1:6" x14ac:dyDescent="0.25">
      <c r="B20" s="75" t="s">
        <v>190</v>
      </c>
      <c r="C20" s="327">
        <f>VerbEl_WLTP4/C18</f>
        <v>13.030958638871194</v>
      </c>
      <c r="D20" s="200" t="s">
        <v>101</v>
      </c>
      <c r="E20" s="137"/>
      <c r="F20" s="137"/>
    </row>
    <row r="21" spans="1:6" x14ac:dyDescent="0.25">
      <c r="B21" s="202" t="s">
        <v>191</v>
      </c>
      <c r="C21" s="328">
        <f>0.0021*(ReichwPHEV4/23)^3-0.0358*(ReichwPHEV4/23)^2+0.2607*(ReichwPHEV4/23)- 0.0267</f>
        <v>0.44703863729760823</v>
      </c>
      <c r="D21" s="203"/>
      <c r="E21" s="137"/>
      <c r="F21" s="137"/>
    </row>
    <row r="22" spans="1:6" ht="14.4" customHeight="1" x14ac:dyDescent="0.25">
      <c r="A22" s="387" t="s">
        <v>17</v>
      </c>
      <c r="B22" s="386" t="s">
        <v>192</v>
      </c>
      <c r="C22" s="329">
        <f>C19*(1-0.9*C21)</f>
        <v>2.8273423739904406</v>
      </c>
      <c r="D22" s="201" t="s">
        <v>100</v>
      </c>
      <c r="E22" s="137"/>
      <c r="F22" s="137"/>
    </row>
    <row r="23" spans="1:6" x14ac:dyDescent="0.25">
      <c r="A23" s="387"/>
      <c r="B23" s="371"/>
      <c r="C23" s="329">
        <f>C20*C21</f>
        <v>5.8253419926024748</v>
      </c>
      <c r="D23" s="199" t="s">
        <v>101</v>
      </c>
      <c r="E23" s="137"/>
      <c r="F23" s="137"/>
    </row>
    <row r="24" spans="1:6" s="137" customFormat="1" ht="14.4" x14ac:dyDescent="0.25">
      <c r="A24" s="138"/>
      <c r="C24" s="197"/>
      <c r="D24" s="7"/>
    </row>
    <row r="25" spans="1:6" x14ac:dyDescent="0.25">
      <c r="B25" s="3" t="s">
        <v>193</v>
      </c>
      <c r="C25" s="3"/>
      <c r="D25" s="3"/>
      <c r="E25" s="137"/>
      <c r="F25" s="137"/>
    </row>
    <row r="26" spans="1:6" x14ac:dyDescent="0.25">
      <c r="E26" s="137"/>
      <c r="F26" s="137"/>
    </row>
    <row r="27" spans="1:6" x14ac:dyDescent="0.25">
      <c r="B27" s="62" t="s">
        <v>121</v>
      </c>
      <c r="C27" s="63"/>
      <c r="D27" s="62"/>
      <c r="E27" s="137"/>
      <c r="F27" s="137"/>
    </row>
    <row r="28" spans="1:6" x14ac:dyDescent="0.25">
      <c r="B28" s="1" t="s">
        <v>194</v>
      </c>
      <c r="C28" s="315">
        <f>IF(Antriebsart4="Vollelektrisch (BEV)",0,IFERROR(VLOOKUP(Energie4,EnKostList,6,FALSE),0)*IF(Antriebsart4="Plug-In-Hybrid (PHEV)",VerbPHEV4,Verbrauch4)/100*Fahrleistung)</f>
        <v>1008.7957590397892</v>
      </c>
      <c r="D28" s="2" t="s">
        <v>195</v>
      </c>
      <c r="E28" s="137"/>
      <c r="F28" s="137"/>
    </row>
    <row r="29" spans="1:6" x14ac:dyDescent="0.25">
      <c r="B29" s="1" t="s">
        <v>66</v>
      </c>
      <c r="C29" s="315">
        <f>IF(Antriebsart4="Verbrenner",0,VLOOKUP("Strom",EnKostList,6,FALSE)*IF(Antriebsart4="Plug-In-Hybrid (PHEV)",VerbElPHEV4,VerbEl_WLTP4)/100*Fahrleistung)</f>
        <v>591.27221224915127</v>
      </c>
      <c r="D29" s="2" t="s">
        <v>195</v>
      </c>
      <c r="E29" s="137"/>
      <c r="F29" s="137"/>
    </row>
    <row r="30" spans="1:6" ht="14.4" thickBot="1" x14ac:dyDescent="0.3">
      <c r="B30" s="66" t="s">
        <v>125</v>
      </c>
      <c r="C30" s="316">
        <f>SUM(C28:C29)</f>
        <v>1600.0679712889405</v>
      </c>
      <c r="D30" s="66" t="s">
        <v>195</v>
      </c>
      <c r="E30" s="137"/>
      <c r="F30" s="137"/>
    </row>
    <row r="31" spans="1:6" ht="14.4" thickTop="1" x14ac:dyDescent="0.25">
      <c r="C31" s="10"/>
      <c r="D31" s="2"/>
      <c r="E31" s="137"/>
      <c r="F31" s="137"/>
    </row>
    <row r="32" spans="1:6" x14ac:dyDescent="0.25">
      <c r="B32" s="62" t="s">
        <v>196</v>
      </c>
      <c r="C32" s="160" t="str">
        <f>CONCATENATE("Energieträger: ",Energie4)</f>
        <v>Energieträger: Benzin</v>
      </c>
      <c r="D32" s="62"/>
      <c r="E32" s="137"/>
      <c r="F32" s="137"/>
    </row>
    <row r="33" spans="1:6" ht="16.2" x14ac:dyDescent="0.35">
      <c r="B33" s="1" t="s">
        <v>197</v>
      </c>
      <c r="C33" s="315">
        <f>IF(Antriebsart4="Plug-In-Hybrid (PHEV)",VerbPHEV4*VLOOKUP(Energie4,CO2List,2,FALSE)/100,CO2_4)*Fahrleistung/1000000</f>
        <v>1.3794535586482382</v>
      </c>
      <c r="D33" s="2" t="s">
        <v>198</v>
      </c>
      <c r="E33" s="137"/>
      <c r="F33" s="137"/>
    </row>
    <row r="34" spans="1:6" x14ac:dyDescent="0.25">
      <c r="B34" s="1" t="s">
        <v>172</v>
      </c>
      <c r="C34" s="315">
        <f>C33*Kost_THG</f>
        <v>689.72677932411909</v>
      </c>
      <c r="D34" s="2" t="s">
        <v>195</v>
      </c>
      <c r="E34" s="137"/>
      <c r="F34" s="137"/>
    </row>
    <row r="35" spans="1:6" x14ac:dyDescent="0.25">
      <c r="B35" s="7" t="s">
        <v>199</v>
      </c>
      <c r="C35" s="324">
        <f>IF(Energie4="Strom",0,NOX_4*Fahrleistung*Kost_NOX/1000)</f>
        <v>5.24</v>
      </c>
      <c r="D35" s="67" t="s">
        <v>195</v>
      </c>
      <c r="E35" s="137"/>
      <c r="F35" s="137"/>
    </row>
    <row r="36" spans="1:6" x14ac:dyDescent="0.25">
      <c r="B36" s="7" t="s">
        <v>106</v>
      </c>
      <c r="C36" s="324">
        <f>IF(Energie4="Strom",0,Partikel4*Fahrleistung*Kost_Partikel/1000)</f>
        <v>1.95</v>
      </c>
      <c r="D36" s="67" t="s">
        <v>195</v>
      </c>
      <c r="E36" s="137"/>
      <c r="F36" s="137"/>
    </row>
    <row r="37" spans="1:6" ht="14.4" thickBot="1" x14ac:dyDescent="0.3">
      <c r="B37" s="66" t="s">
        <v>125</v>
      </c>
      <c r="C37" s="316">
        <f>SUM(C34:C36)</f>
        <v>696.91677932411915</v>
      </c>
      <c r="D37" s="66" t="s">
        <v>195</v>
      </c>
      <c r="E37" s="137"/>
      <c r="F37" s="137"/>
    </row>
    <row r="38" spans="1:6" ht="14.4" thickTop="1" x14ac:dyDescent="0.25">
      <c r="B38" s="14"/>
      <c r="D38" s="2"/>
      <c r="E38" s="137"/>
      <c r="F38" s="137"/>
    </row>
    <row r="39" spans="1:6" x14ac:dyDescent="0.25">
      <c r="B39" s="62" t="s">
        <v>200</v>
      </c>
      <c r="C39" s="160" t="str">
        <f>CONCATENATE("Energieträger: ",Energie4,IF(Antriebsart4="Plug-In-Hybrid (PHEV)","+Strom",""))</f>
        <v>Energieträger: Benzin+Strom</v>
      </c>
      <c r="D39" s="62"/>
      <c r="E39" s="137"/>
      <c r="F39" s="137"/>
    </row>
    <row r="40" spans="1:6" ht="16.2" x14ac:dyDescent="0.35">
      <c r="B40" s="1" t="s">
        <v>197</v>
      </c>
      <c r="C40" s="315">
        <f ca="1">IFERROR(IF(Antriebsart4="Vollelektrisch (BEV)",VLOOKUP("Strom",CO2List,3,FALSE)*VerbEl_WLTP4/100*Fahrleistung/1000000,IF(Antriebsart4="Verbrenner",VLOOKUP(Energie4,CO2List,3,FALSE)*Verbrauch4/100*Fahrleistung/1000000,VLOOKUP(Energie4,CO2List,3,FALSE)*VerbPHEV4/100*Fahrleistung/1000000+VLOOKUP("Strom",CO2List,3,FALSE)*VerbElPHEV4/100*Fahrleistung/1000000)),0)</f>
        <v>0.66110700176764103</v>
      </c>
      <c r="D40" s="2" t="s">
        <v>198</v>
      </c>
      <c r="E40" s="137"/>
      <c r="F40" s="137"/>
    </row>
    <row r="41" spans="1:6" x14ac:dyDescent="0.25">
      <c r="B41" s="1" t="s">
        <v>201</v>
      </c>
      <c r="C41" s="315">
        <f ca="1">C40*Kost_THG</f>
        <v>330.5535008838205</v>
      </c>
      <c r="D41" s="2" t="s">
        <v>195</v>
      </c>
      <c r="E41" s="137"/>
      <c r="F41" s="137"/>
    </row>
    <row r="42" spans="1:6" x14ac:dyDescent="0.25">
      <c r="E42" s="137"/>
      <c r="F42" s="137"/>
    </row>
    <row r="43" spans="1:6" x14ac:dyDescent="0.25">
      <c r="B43" s="3" t="s">
        <v>202</v>
      </c>
      <c r="C43" s="3"/>
      <c r="D43" s="3"/>
      <c r="E43" s="137"/>
      <c r="F43" s="137"/>
    </row>
    <row r="44" spans="1:6" x14ac:dyDescent="0.25">
      <c r="B44" s="69"/>
      <c r="C44" s="69"/>
      <c r="D44" s="69"/>
      <c r="E44" s="137"/>
      <c r="F44" s="137"/>
    </row>
    <row r="45" spans="1:6" s="70" customFormat="1" x14ac:dyDescent="0.25">
      <c r="A45" s="119"/>
      <c r="B45" s="101" t="s">
        <v>203</v>
      </c>
      <c r="C45" s="146" t="s">
        <v>204</v>
      </c>
      <c r="D45" s="64"/>
      <c r="E45" s="137"/>
      <c r="F45" s="137"/>
    </row>
    <row r="46" spans="1:6" s="70" customFormat="1" ht="16.2" x14ac:dyDescent="0.25">
      <c r="A46" s="345" t="s">
        <v>17</v>
      </c>
      <c r="B46" s="384" t="s">
        <v>197</v>
      </c>
      <c r="C46" s="317">
        <f>IF(OR(Antriebsart4="Vollelektrisch (BEV)",Antriebsart4="Plug-In-Hybrid (PHEV)"),Batterie4*Batterie_THG/1000,0)</f>
        <v>1.008</v>
      </c>
      <c r="D46" s="143" t="s">
        <v>205</v>
      </c>
      <c r="E46" s="139"/>
      <c r="F46" s="137"/>
    </row>
    <row r="47" spans="1:6" s="70" customFormat="1" ht="16.2" x14ac:dyDescent="0.25">
      <c r="A47" s="345"/>
      <c r="B47" s="385"/>
      <c r="C47" s="317">
        <f>IF((Fahrleistung*16)&lt;220000,C46*10^6/(Fahrleistung*16),C46*10^6/220000)</f>
        <v>4.581818181818182</v>
      </c>
      <c r="D47" s="142" t="s">
        <v>206</v>
      </c>
      <c r="E47" s="139"/>
      <c r="F47" s="137"/>
    </row>
    <row r="48" spans="1:6" x14ac:dyDescent="0.25">
      <c r="B48" s="1" t="s">
        <v>207</v>
      </c>
      <c r="C48" s="315">
        <f>IF(C47*Fahrleistung/10^6*Haltedauer&lt;C46, C47*Fahrleistung/10^6*Kost_THG, C46/Haltedauer*Kost_THG)</f>
        <v>45.81818181818182</v>
      </c>
      <c r="D48" s="2" t="s">
        <v>195</v>
      </c>
      <c r="E48" s="137"/>
      <c r="F48" s="137"/>
    </row>
    <row r="49" spans="1:6" x14ac:dyDescent="0.25">
      <c r="D49" s="2"/>
      <c r="E49" s="137"/>
      <c r="F49" s="137"/>
    </row>
    <row r="50" spans="1:6" x14ac:dyDescent="0.25">
      <c r="E50" s="137"/>
      <c r="F50" s="137"/>
    </row>
    <row r="51" spans="1:6" x14ac:dyDescent="0.25">
      <c r="B51" s="3" t="str">
        <f>CONCATENATE("Lebenszykluskosten"," (Haltedauer: ",Haltedauer," Jahre)")</f>
        <v>Lebenszykluskosten (Haltedauer: 7 Jahre)</v>
      </c>
      <c r="C51" s="100"/>
      <c r="D51" s="100"/>
    </row>
    <row r="52" spans="1:6" x14ac:dyDescent="0.25">
      <c r="B52" s="1" t="s">
        <v>208</v>
      </c>
    </row>
    <row r="54" spans="1:6" s="73" customFormat="1" ht="14.4" x14ac:dyDescent="0.3">
      <c r="A54" s="1"/>
      <c r="B54" s="71" t="s">
        <v>209</v>
      </c>
      <c r="C54" s="318">
        <f>IF(FinArt="Kauf",IF(KaufpreisRech="Kaufpreis",Gesamtpreis4,0),Gesamtpreis4*Haltedauer*12+IF(FinArt="Leasing",LeasSondZahl4,0))</f>
        <v>0</v>
      </c>
      <c r="D54" s="71" t="s">
        <v>96</v>
      </c>
      <c r="E54" s="72"/>
      <c r="F54" s="60"/>
    </row>
    <row r="55" spans="1:6" s="74" customFormat="1" x14ac:dyDescent="0.25">
      <c r="A55" s="1"/>
      <c r="B55" s="1" t="s">
        <v>210</v>
      </c>
      <c r="C55" s="319">
        <f>IF(AND(KaufpreisRech="Wertminderung",FinArt="Kauf"),Gesamtpreis4-Gesamtpreis4*(-0.2*LN(Haltedauer)+0.667),0)</f>
        <v>26496.858673767885</v>
      </c>
      <c r="D55" s="1" t="s">
        <v>96</v>
      </c>
      <c r="E55" s="137"/>
      <c r="F55" s="76"/>
    </row>
    <row r="56" spans="1:6" x14ac:dyDescent="0.25">
      <c r="B56" s="1" t="s">
        <v>121</v>
      </c>
      <c r="C56" s="319">
        <f>C30*Haltedauer</f>
        <v>11200.475799022584</v>
      </c>
      <c r="D56" s="1" t="s">
        <v>96</v>
      </c>
      <c r="F56" s="76"/>
    </row>
    <row r="57" spans="1:6" x14ac:dyDescent="0.25">
      <c r="B57" s="1" t="s">
        <v>211</v>
      </c>
      <c r="C57" s="319">
        <f>C37*Haltedauer</f>
        <v>4878.4174552688337</v>
      </c>
      <c r="D57" s="1" t="s">
        <v>96</v>
      </c>
      <c r="F57" s="60"/>
    </row>
    <row r="58" spans="1:6" x14ac:dyDescent="0.25">
      <c r="B58" s="1" t="s">
        <v>201</v>
      </c>
      <c r="C58" s="319">
        <f ca="1">C41*Haltedauer</f>
        <v>2313.8745061867435</v>
      </c>
      <c r="D58" s="1" t="s">
        <v>96</v>
      </c>
      <c r="F58" s="60"/>
    </row>
    <row r="59" spans="1:6" x14ac:dyDescent="0.25">
      <c r="B59" s="75" t="s">
        <v>124</v>
      </c>
      <c r="C59" s="320">
        <f>C48*Haltedauer</f>
        <v>320.72727272727275</v>
      </c>
      <c r="D59" s="75" t="s">
        <v>96</v>
      </c>
      <c r="F59" s="162"/>
    </row>
    <row r="60" spans="1:6" ht="14.4" thickBot="1" x14ac:dyDescent="0.3">
      <c r="B60" s="66" t="s">
        <v>125</v>
      </c>
      <c r="C60" s="321">
        <f ca="1">SUM(C54:C59)</f>
        <v>45210.353706973321</v>
      </c>
      <c r="D60" s="66" t="s">
        <v>96</v>
      </c>
      <c r="E60" s="14"/>
      <c r="F60" s="60"/>
    </row>
    <row r="61" spans="1:6" s="61" customFormat="1" ht="14.4" thickTop="1" x14ac:dyDescent="0.25">
      <c r="A61" s="1"/>
      <c r="B61" s="1"/>
      <c r="C61" s="10"/>
      <c r="D61" s="1"/>
      <c r="E61" s="14"/>
      <c r="F61" s="1"/>
    </row>
    <row r="62" spans="1:6" ht="16.2" x14ac:dyDescent="0.35">
      <c r="B62" s="71" t="s">
        <v>212</v>
      </c>
      <c r="C62" s="322">
        <f>IF(C47*Fahrleistung/10^6*Haltedauer&lt;C46, C47*Fahrleistung/10^6*Haltedauer, C46)</f>
        <v>0.6414545454545455</v>
      </c>
      <c r="D62" s="71" t="s">
        <v>213</v>
      </c>
    </row>
    <row r="63" spans="1:6" ht="16.2" x14ac:dyDescent="0.35">
      <c r="B63" s="75" t="s">
        <v>130</v>
      </c>
      <c r="C63" s="323">
        <f ca="1">C33*Haltedauer+C40*Haltedauer</f>
        <v>14.283923922911153</v>
      </c>
      <c r="D63" s="75" t="s">
        <v>213</v>
      </c>
      <c r="E63" s="74"/>
    </row>
  </sheetData>
  <sheetProtection sheet="1" objects="1" scenarios="1"/>
  <mergeCells count="4">
    <mergeCell ref="A46:A47"/>
    <mergeCell ref="B46:B47"/>
    <mergeCell ref="B22:B23"/>
    <mergeCell ref="A22:A23"/>
  </mergeCells>
  <conditionalFormatting sqref="A16:D23">
    <cfRule type="expression" dxfId="1" priority="2">
      <formula>Antriebsart4&lt;&gt;"Plug-In-Hybrid (PHEV)"</formula>
    </cfRule>
  </conditionalFormatting>
  <hyperlinks>
    <hyperlink ref="E2" location="Anleitung!A1" display="zurück zu &quot;Anleitung&quot;" xr:uid="{00000000-0004-0000-0900-000000000000}"/>
  </hyperlinks>
  <pageMargins left="0.25" right="0.25" top="0.75" bottom="0.75" header="0.3" footer="0.3"/>
  <pageSetup paperSize="9" scale="91"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63"/>
  <sheetViews>
    <sheetView showGridLines="0" zoomScaleNormal="100" workbookViewId="0"/>
  </sheetViews>
  <sheetFormatPr baseColWidth="10" defaultColWidth="11.5546875" defaultRowHeight="13.8" x14ac:dyDescent="0.25"/>
  <cols>
    <col min="1" max="1" width="5.33203125" style="1" customWidth="1"/>
    <col min="2" max="2" width="61.6640625" style="1" customWidth="1"/>
    <col min="3" max="3" width="17.6640625" style="1" customWidth="1"/>
    <col min="4" max="4" width="18.33203125" style="1" customWidth="1"/>
    <col min="5" max="5" width="11.5546875" style="1"/>
    <col min="6" max="6" width="25.33203125" style="1" hidden="1" customWidth="1"/>
    <col min="7" max="16384" width="11.5546875" style="1"/>
  </cols>
  <sheetData>
    <row r="1" spans="2:6" x14ac:dyDescent="0.25">
      <c r="E1" s="137"/>
      <c r="F1" s="137"/>
    </row>
    <row r="2" spans="2:6" x14ac:dyDescent="0.25">
      <c r="B2" s="2" t="s">
        <v>217</v>
      </c>
      <c r="E2" s="118" t="s">
        <v>28</v>
      </c>
      <c r="F2" s="137"/>
    </row>
    <row r="3" spans="2:6" x14ac:dyDescent="0.25">
      <c r="E3" s="137"/>
      <c r="F3" s="137"/>
    </row>
    <row r="4" spans="2:6" x14ac:dyDescent="0.25">
      <c r="B4" s="3" t="s">
        <v>183</v>
      </c>
      <c r="C4" s="3"/>
      <c r="D4" s="3"/>
      <c r="E4" s="137"/>
      <c r="F4" s="137"/>
    </row>
    <row r="5" spans="2:6" x14ac:dyDescent="0.25">
      <c r="E5" s="137"/>
      <c r="F5" s="137" t="str">
        <f>IF(Antriebsart5="Vollelektrisch (BEV)","Strom","nicht verfügbar")</f>
        <v>nicht verfügbar</v>
      </c>
    </row>
    <row r="6" spans="2:6" x14ac:dyDescent="0.25">
      <c r="B6" s="2" t="s">
        <v>60</v>
      </c>
      <c r="C6" s="56">
        <v>5</v>
      </c>
      <c r="E6" s="137"/>
      <c r="F6" s="137" t="str">
        <f>IF(OR(Antriebsart5="Verbrenner",Antriebsart5="Plug-In-Hybrid (PHEV)"),"Diesel","nicht verfügbar")</f>
        <v>Diesel</v>
      </c>
    </row>
    <row r="7" spans="2:6" x14ac:dyDescent="0.25">
      <c r="B7" s="1" t="s">
        <v>69</v>
      </c>
      <c r="C7" s="114" t="str">
        <f>IF(Anbieter5=0,"",Anbieter5)</f>
        <v>E</v>
      </c>
      <c r="E7" s="137"/>
      <c r="F7" s="137" t="str">
        <f>IF(OR(Antriebsart5="Verbrenner",Antriebsart5="Plug-In-Hybrid (PHEV)"),"Benzin","nicht verfügbar")</f>
        <v>Benzin</v>
      </c>
    </row>
    <row r="8" spans="2:6" x14ac:dyDescent="0.25">
      <c r="C8" s="114"/>
      <c r="E8" s="137"/>
      <c r="F8" s="137" t="str">
        <f>IF(Antriebsart5="Verbrenner","Erdgas (CNG)","nicht verfügbar")</f>
        <v>nicht verfügbar</v>
      </c>
    </row>
    <row r="9" spans="2:6" x14ac:dyDescent="0.25">
      <c r="B9" s="2" t="s">
        <v>184</v>
      </c>
      <c r="C9" s="114"/>
      <c r="E9" s="137"/>
      <c r="F9" s="137"/>
    </row>
    <row r="10" spans="2:6" x14ac:dyDescent="0.25">
      <c r="B10" s="1" t="s">
        <v>185</v>
      </c>
      <c r="C10" s="114" t="str">
        <f>IF(Hersteller5=0,"",Hersteller5)</f>
        <v>Renault</v>
      </c>
      <c r="D10" s="57"/>
      <c r="E10" s="137"/>
      <c r="F10" s="137"/>
    </row>
    <row r="11" spans="2:6" x14ac:dyDescent="0.25">
      <c r="B11" s="1" t="s">
        <v>81</v>
      </c>
      <c r="C11" s="114" t="str">
        <f>IF(Modell5=0,"",Modell5)</f>
        <v>Mégane E-TECH</v>
      </c>
      <c r="D11" s="57"/>
      <c r="E11" s="137"/>
      <c r="F11" s="137"/>
    </row>
    <row r="12" spans="2:6" ht="43.95" customHeight="1" x14ac:dyDescent="0.25">
      <c r="B12" s="58" t="s">
        <v>186</v>
      </c>
      <c r="C12" s="114" t="str">
        <f>IF(Zusatzinfo5=0,"",Zusatzinfo5)</f>
        <v>Plug-in 160 Techno Multi-Mode-Automatik</v>
      </c>
      <c r="D12" s="57"/>
      <c r="E12" s="137"/>
      <c r="F12" s="137"/>
    </row>
    <row r="13" spans="2:6" x14ac:dyDescent="0.25">
      <c r="B13" s="59" t="s">
        <v>61</v>
      </c>
      <c r="C13" s="114" t="str">
        <f>IF(Antriebsart5=0,"",Antriebsart5)</f>
        <v>Plug-in-Hybrid (PHEV)</v>
      </c>
      <c r="E13" s="137"/>
      <c r="F13" s="137"/>
    </row>
    <row r="14" spans="2:6" x14ac:dyDescent="0.25">
      <c r="B14" s="2" t="s">
        <v>65</v>
      </c>
      <c r="C14" s="114" t="str">
        <f>IF(Energie5=0,"",Energie5)</f>
        <v>Benzin</v>
      </c>
      <c r="D14" s="99"/>
      <c r="E14" s="137"/>
      <c r="F14" s="137"/>
    </row>
    <row r="15" spans="2:6" x14ac:dyDescent="0.25">
      <c r="B15" s="2"/>
      <c r="D15" s="2"/>
      <c r="E15" s="137"/>
      <c r="F15" s="137"/>
    </row>
    <row r="16" spans="2:6" ht="13.95" customHeight="1" x14ac:dyDescent="0.25">
      <c r="B16" s="3" t="s">
        <v>187</v>
      </c>
      <c r="C16" s="3"/>
      <c r="D16" s="3"/>
      <c r="E16" s="137"/>
      <c r="F16" s="137"/>
    </row>
    <row r="17" spans="1:6" ht="13.95" customHeight="1" x14ac:dyDescent="0.25">
      <c r="A17" s="204"/>
      <c r="B17" s="69"/>
      <c r="C17" s="69"/>
      <c r="D17" s="69"/>
      <c r="E17" s="137"/>
      <c r="F17" s="137"/>
    </row>
    <row r="18" spans="1:6" x14ac:dyDescent="0.25">
      <c r="B18" s="75" t="s">
        <v>188</v>
      </c>
      <c r="C18" s="325">
        <f>0.0057*(ReichwPHEV5/23)^3-0.0838*(ReichwPHEV5/23)^2+0.4261*(ReichwPHEV5/23)+ 0.1633</f>
        <v>0.75824494945343957</v>
      </c>
      <c r="D18" s="200"/>
      <c r="E18" s="137"/>
      <c r="F18" s="137"/>
    </row>
    <row r="19" spans="1:6" x14ac:dyDescent="0.25">
      <c r="B19" s="1" t="s">
        <v>189</v>
      </c>
      <c r="C19" s="326">
        <f>Verbrauch5/(1-0.9*C18)</f>
        <v>3.7785808848025759</v>
      </c>
      <c r="D19" s="7" t="s">
        <v>100</v>
      </c>
      <c r="E19" s="137"/>
      <c r="F19" s="137"/>
    </row>
    <row r="20" spans="1:6" x14ac:dyDescent="0.25">
      <c r="B20" s="75" t="s">
        <v>190</v>
      </c>
      <c r="C20" s="327">
        <f>VerbEl_WLTP5/C18</f>
        <v>17.144855378688245</v>
      </c>
      <c r="D20" s="200" t="s">
        <v>101</v>
      </c>
      <c r="E20" s="137"/>
      <c r="F20" s="137"/>
    </row>
    <row r="21" spans="1:6" x14ac:dyDescent="0.25">
      <c r="B21" s="202" t="s">
        <v>191</v>
      </c>
      <c r="C21" s="328">
        <f>0.0021*(ReichwPHEV5/23)^3-0.0358*(ReichwPHEV5/23)^2+0.2607*(ReichwPHEV5/23)- 0.0267</f>
        <v>0.39824690556423109</v>
      </c>
      <c r="D21" s="203"/>
      <c r="E21" s="137"/>
      <c r="F21" s="137"/>
    </row>
    <row r="22" spans="1:6" ht="14.4" customHeight="1" x14ac:dyDescent="0.25">
      <c r="A22" s="387" t="s">
        <v>17</v>
      </c>
      <c r="B22" s="386" t="s">
        <v>192</v>
      </c>
      <c r="C22" s="329">
        <f>C19*(1-0.9*C21)</f>
        <v>2.4242535544854737</v>
      </c>
      <c r="D22" s="201" t="s">
        <v>100</v>
      </c>
      <c r="E22" s="137"/>
      <c r="F22" s="137"/>
    </row>
    <row r="23" spans="1:6" x14ac:dyDescent="0.25">
      <c r="A23" s="387"/>
      <c r="B23" s="371"/>
      <c r="C23" s="329">
        <f>C20*C21</f>
        <v>6.8278856009088571</v>
      </c>
      <c r="D23" s="199" t="s">
        <v>101</v>
      </c>
      <c r="E23" s="137"/>
      <c r="F23" s="137"/>
    </row>
    <row r="24" spans="1:6" s="137" customFormat="1" ht="14.4" x14ac:dyDescent="0.25">
      <c r="A24" s="138"/>
      <c r="C24" s="197"/>
      <c r="D24" s="7"/>
    </row>
    <row r="25" spans="1:6" x14ac:dyDescent="0.25">
      <c r="B25" s="3" t="s">
        <v>193</v>
      </c>
      <c r="C25" s="3"/>
      <c r="D25" s="3"/>
      <c r="E25" s="137"/>
      <c r="F25" s="137"/>
    </row>
    <row r="26" spans="1:6" x14ac:dyDescent="0.25">
      <c r="E26" s="137"/>
      <c r="F26" s="137"/>
    </row>
    <row r="27" spans="1:6" x14ac:dyDescent="0.25">
      <c r="B27" s="62" t="s">
        <v>121</v>
      </c>
      <c r="C27" s="63"/>
      <c r="D27" s="62"/>
      <c r="E27" s="137"/>
      <c r="F27" s="137"/>
    </row>
    <row r="28" spans="1:6" x14ac:dyDescent="0.25">
      <c r="B28" s="1" t="s">
        <v>194</v>
      </c>
      <c r="C28" s="315">
        <f>IF(Antriebsart5="Vollelektrisch (BEV)",0,IFERROR(VLOOKUP(Energie5,EnKostList,6,FALSE),0)*IF(Antriebsart5="Plug-In-Hybrid (PHEV)",VerbPHEV5,Verbrauch5)/100*Fahrleistung)</f>
        <v>864.97366824041717</v>
      </c>
      <c r="D28" s="2" t="s">
        <v>195</v>
      </c>
      <c r="E28" s="137"/>
      <c r="F28" s="137"/>
    </row>
    <row r="29" spans="1:6" x14ac:dyDescent="0.25">
      <c r="B29" s="1" t="s">
        <v>66</v>
      </c>
      <c r="C29" s="315">
        <f>IF(Antriebsart5="Verbrenner",0,VLOOKUP("Strom",EnKostList,6,FALSE)*IF(Antriebsart5="Plug-In-Hybrid (PHEV)",VerbElPHEV5,VerbEl_WLTP5)/100*Fahrleistung)</f>
        <v>693.03038849224913</v>
      </c>
      <c r="D29" s="2" t="s">
        <v>195</v>
      </c>
      <c r="E29" s="137"/>
      <c r="F29" s="137"/>
    </row>
    <row r="30" spans="1:6" ht="14.4" thickBot="1" x14ac:dyDescent="0.3">
      <c r="B30" s="66" t="s">
        <v>125</v>
      </c>
      <c r="C30" s="316">
        <f>SUM(C28:C29)</f>
        <v>1558.0040567326664</v>
      </c>
      <c r="D30" s="66" t="s">
        <v>195</v>
      </c>
      <c r="E30" s="137"/>
      <c r="F30" s="137"/>
    </row>
    <row r="31" spans="1:6" ht="14.4" thickTop="1" x14ac:dyDescent="0.25">
      <c r="C31" s="10"/>
      <c r="D31" s="2"/>
      <c r="E31" s="137"/>
      <c r="F31" s="137"/>
    </row>
    <row r="32" spans="1:6" x14ac:dyDescent="0.25">
      <c r="B32" s="62" t="s">
        <v>196</v>
      </c>
      <c r="C32" s="160" t="str">
        <f>CONCATENATE("Energieträger: ",Energie5)</f>
        <v>Energieträger: Benzin</v>
      </c>
      <c r="D32" s="62"/>
      <c r="E32" s="137"/>
      <c r="F32" s="137"/>
    </row>
    <row r="33" spans="1:6" ht="16.2" x14ac:dyDescent="0.35">
      <c r="A33" s="138"/>
      <c r="B33" s="1" t="s">
        <v>197</v>
      </c>
      <c r="C33" s="315">
        <f>IF(Antriebsart5="Plug-In-Hybrid (PHEV)",VerbPHEV5*VLOOKUP(Energie5,CO2List,2,FALSE)/100,CO2_5)*Fahrleistung/1000000</f>
        <v>1.1827874910249319</v>
      </c>
      <c r="D33" s="2" t="s">
        <v>198</v>
      </c>
      <c r="E33" s="137"/>
      <c r="F33" s="137"/>
    </row>
    <row r="34" spans="1:6" x14ac:dyDescent="0.25">
      <c r="B34" s="1" t="s">
        <v>172</v>
      </c>
      <c r="C34" s="315">
        <f>C33*Kost_THG</f>
        <v>591.3937455124659</v>
      </c>
      <c r="D34" s="2" t="s">
        <v>195</v>
      </c>
      <c r="E34" s="137"/>
      <c r="F34" s="137"/>
    </row>
    <row r="35" spans="1:6" x14ac:dyDescent="0.25">
      <c r="B35" s="7" t="s">
        <v>199</v>
      </c>
      <c r="C35" s="324">
        <f>IF(Energie5="Strom",0,NOX_5*Fahrleistung*Kost_NOX/1000)</f>
        <v>1.24</v>
      </c>
      <c r="D35" s="67" t="s">
        <v>195</v>
      </c>
      <c r="E35" s="137"/>
      <c r="F35" s="137"/>
    </row>
    <row r="36" spans="1:6" x14ac:dyDescent="0.25">
      <c r="B36" s="7" t="s">
        <v>106</v>
      </c>
      <c r="C36" s="324">
        <f>IF(Energie5="Strom",0,Partikel5*Fahrleistung*Kost_Partikel/1000)</f>
        <v>3</v>
      </c>
      <c r="D36" s="67" t="s">
        <v>195</v>
      </c>
      <c r="E36" s="137"/>
      <c r="F36" s="137"/>
    </row>
    <row r="37" spans="1:6" ht="14.4" thickBot="1" x14ac:dyDescent="0.3">
      <c r="B37" s="66" t="s">
        <v>125</v>
      </c>
      <c r="C37" s="316">
        <f>SUM(C34:C36)</f>
        <v>595.63374551246591</v>
      </c>
      <c r="D37" s="66" t="s">
        <v>195</v>
      </c>
      <c r="E37" s="137"/>
      <c r="F37" s="137"/>
    </row>
    <row r="38" spans="1:6" ht="14.4" thickTop="1" x14ac:dyDescent="0.25">
      <c r="B38" s="14"/>
      <c r="D38" s="2"/>
      <c r="E38" s="137"/>
      <c r="F38" s="137"/>
    </row>
    <row r="39" spans="1:6" x14ac:dyDescent="0.25">
      <c r="B39" s="62" t="s">
        <v>200</v>
      </c>
      <c r="C39" s="160" t="str">
        <f>CONCATENATE("Energieträger: ",Energie5,IF(Antriebsart5="Plug-In-Hybrid (PHEV)","+Strom",""))</f>
        <v>Energieträger: Benzin+Strom</v>
      </c>
      <c r="D39" s="62"/>
      <c r="E39" s="137"/>
      <c r="F39" s="137"/>
    </row>
    <row r="40" spans="1:6" ht="16.2" x14ac:dyDescent="0.35">
      <c r="B40" s="1" t="s">
        <v>197</v>
      </c>
      <c r="C40" s="315">
        <f ca="1">IFERROR(IF(Antriebsart5="Vollelektrisch (BEV)",VLOOKUP("Strom",CO2List,3,FALSE)*VerbEl_WLTP5/100*Fahrleistung/1000000,IF(Antriebsart5="Verbrenner",VLOOKUP(Energie5,CO2List,3,FALSE)*Verbrauch5/100*Fahrleistung/1000000,VLOOKUP(Energie5,CO2List,3,FALSE)*VerbPHEV5/100*Fahrleistung/1000000+VLOOKUP("Strom",CO2List,3,FALSE)*VerbElPHEV5/100*Fahrleistung/1000000)),0)</f>
        <v>0.6929183211275094</v>
      </c>
      <c r="D40" s="2" t="s">
        <v>198</v>
      </c>
      <c r="E40" s="137"/>
      <c r="F40" s="137"/>
    </row>
    <row r="41" spans="1:6" x14ac:dyDescent="0.25">
      <c r="B41" s="1" t="s">
        <v>201</v>
      </c>
      <c r="C41" s="315">
        <f ca="1">C40*Kost_THG</f>
        <v>346.45916056375472</v>
      </c>
      <c r="D41" s="2" t="s">
        <v>195</v>
      </c>
      <c r="E41" s="137"/>
      <c r="F41" s="137"/>
    </row>
    <row r="42" spans="1:6" x14ac:dyDescent="0.25">
      <c r="E42" s="137"/>
      <c r="F42" s="137"/>
    </row>
    <row r="43" spans="1:6" x14ac:dyDescent="0.25">
      <c r="B43" s="3" t="s">
        <v>202</v>
      </c>
      <c r="C43" s="3"/>
      <c r="D43" s="3"/>
      <c r="E43" s="137"/>
      <c r="F43" s="137"/>
    </row>
    <row r="44" spans="1:6" x14ac:dyDescent="0.25">
      <c r="B44" s="69"/>
      <c r="C44" s="69"/>
      <c r="D44" s="69"/>
      <c r="E44" s="137"/>
      <c r="F44" s="137"/>
    </row>
    <row r="45" spans="1:6" s="70" customFormat="1" x14ac:dyDescent="0.25">
      <c r="A45" s="119"/>
      <c r="B45" s="101" t="s">
        <v>203</v>
      </c>
      <c r="C45" s="146" t="s">
        <v>204</v>
      </c>
      <c r="D45" s="64"/>
      <c r="E45" s="137"/>
      <c r="F45" s="137"/>
    </row>
    <row r="46" spans="1:6" s="70" customFormat="1" ht="16.2" x14ac:dyDescent="0.25">
      <c r="A46" s="345" t="s">
        <v>17</v>
      </c>
      <c r="B46" s="384" t="s">
        <v>197</v>
      </c>
      <c r="C46" s="317">
        <f>IF(OR(Antriebsart5="Vollelektrisch (BEV)",Antriebsart5="Plug-In-Hybrid (PHEV)"),Batterie5*Batterie_THG/1000,0)</f>
        <v>0.82320000000000004</v>
      </c>
      <c r="D46" s="143" t="s">
        <v>205</v>
      </c>
      <c r="E46" s="139"/>
      <c r="F46" s="137"/>
    </row>
    <row r="47" spans="1:6" s="70" customFormat="1" ht="16.2" x14ac:dyDescent="0.25">
      <c r="A47" s="345"/>
      <c r="B47" s="385"/>
      <c r="C47" s="317">
        <f>IF((Fahrleistung*16)&lt;220000,C46*10^6/(Fahrleistung*16),C46*10^6/220000)</f>
        <v>3.7418181818181817</v>
      </c>
      <c r="D47" s="142" t="s">
        <v>206</v>
      </c>
      <c r="E47" s="139"/>
      <c r="F47" s="137"/>
    </row>
    <row r="48" spans="1:6" x14ac:dyDescent="0.25">
      <c r="B48" s="1" t="s">
        <v>207</v>
      </c>
      <c r="C48" s="315">
        <f>IF(C47*Fahrleistung/10^6*Haltedauer&lt;C46, C47*Fahrleistung/10^6*Kost_THG, C46/Haltedauer*Kost_THG)</f>
        <v>37.418181818181814</v>
      </c>
      <c r="D48" s="2" t="s">
        <v>195</v>
      </c>
      <c r="E48" s="137"/>
      <c r="F48" s="137"/>
    </row>
    <row r="49" spans="1:6" x14ac:dyDescent="0.25">
      <c r="D49" s="2"/>
      <c r="E49" s="137"/>
      <c r="F49" s="137"/>
    </row>
    <row r="50" spans="1:6" x14ac:dyDescent="0.25">
      <c r="E50" s="137"/>
      <c r="F50" s="137"/>
    </row>
    <row r="51" spans="1:6" x14ac:dyDescent="0.25">
      <c r="B51" s="3" t="str">
        <f>CONCATENATE("Lebenszykluskosten"," (Haltedauer: ",Haltedauer," Jahre)")</f>
        <v>Lebenszykluskosten (Haltedauer: 7 Jahre)</v>
      </c>
      <c r="C51" s="100"/>
      <c r="D51" s="100"/>
    </row>
    <row r="52" spans="1:6" x14ac:dyDescent="0.25">
      <c r="B52" s="1" t="s">
        <v>208</v>
      </c>
    </row>
    <row r="54" spans="1:6" s="73" customFormat="1" ht="14.4" x14ac:dyDescent="0.3">
      <c r="A54" s="1"/>
      <c r="B54" s="71" t="s">
        <v>209</v>
      </c>
      <c r="C54" s="318">
        <f>IF(FinArt="Kauf",IF(KaufpreisRech="Kaufpreis",Gesamtpreis5,0),Gesamtpreis5*Haltedauer*12+IF(FinArt="Leasing",LeasSondZahl5,0))</f>
        <v>0</v>
      </c>
      <c r="D54" s="71" t="s">
        <v>96</v>
      </c>
      <c r="E54" s="72"/>
      <c r="F54" s="60"/>
    </row>
    <row r="55" spans="1:6" s="74" customFormat="1" x14ac:dyDescent="0.25">
      <c r="A55" s="1"/>
      <c r="B55" s="1" t="s">
        <v>210</v>
      </c>
      <c r="C55" s="319">
        <f>IF(AND(KaufpreisRech="Wertminderung",FinArt="Kauf"),Gesamtpreis5-Gesamtpreis5*(-0.2*LN(Haltedauer)+0.667),0)</f>
        <v>27442.917132820381</v>
      </c>
      <c r="D55" s="1" t="s">
        <v>96</v>
      </c>
      <c r="E55" s="137"/>
      <c r="F55" s="76"/>
    </row>
    <row r="56" spans="1:6" x14ac:dyDescent="0.25">
      <c r="B56" s="1" t="s">
        <v>121</v>
      </c>
      <c r="C56" s="319">
        <f>C30*Haltedauer</f>
        <v>10906.028397128664</v>
      </c>
      <c r="D56" s="1" t="s">
        <v>96</v>
      </c>
      <c r="F56" s="76"/>
    </row>
    <row r="57" spans="1:6" x14ac:dyDescent="0.25">
      <c r="B57" s="1" t="s">
        <v>211</v>
      </c>
      <c r="C57" s="319">
        <f>C37*Haltedauer</f>
        <v>4169.4362185872615</v>
      </c>
      <c r="D57" s="1" t="s">
        <v>96</v>
      </c>
      <c r="F57" s="60"/>
    </row>
    <row r="58" spans="1:6" x14ac:dyDescent="0.25">
      <c r="B58" s="1" t="s">
        <v>201</v>
      </c>
      <c r="C58" s="319">
        <f ca="1">C41*Haltedauer</f>
        <v>2425.2141239462831</v>
      </c>
      <c r="D58" s="1" t="s">
        <v>96</v>
      </c>
      <c r="F58" s="60"/>
    </row>
    <row r="59" spans="1:6" x14ac:dyDescent="0.25">
      <c r="B59" s="75" t="s">
        <v>124</v>
      </c>
      <c r="C59" s="320">
        <f>C48*Haltedauer</f>
        <v>261.92727272727268</v>
      </c>
      <c r="D59" s="75" t="s">
        <v>96</v>
      </c>
      <c r="F59" s="162"/>
    </row>
    <row r="60" spans="1:6" ht="14.4" thickBot="1" x14ac:dyDescent="0.3">
      <c r="B60" s="66" t="s">
        <v>125</v>
      </c>
      <c r="C60" s="321">
        <f ca="1">SUM(C54:C59)</f>
        <v>45205.523145209852</v>
      </c>
      <c r="D60" s="66" t="s">
        <v>96</v>
      </c>
      <c r="E60" s="14"/>
      <c r="F60" s="60"/>
    </row>
    <row r="61" spans="1:6" s="61" customFormat="1" ht="14.4" thickTop="1" x14ac:dyDescent="0.25">
      <c r="A61" s="1"/>
      <c r="B61" s="1"/>
      <c r="C61" s="10"/>
      <c r="D61" s="1"/>
      <c r="E61" s="14"/>
      <c r="F61" s="1"/>
    </row>
    <row r="62" spans="1:6" ht="16.2" x14ac:dyDescent="0.35">
      <c r="B62" s="71" t="s">
        <v>212</v>
      </c>
      <c r="C62" s="322">
        <f>IF(C47*Fahrleistung/10^6*Haltedauer&lt;C46, C47*Fahrleistung/10^6*Haltedauer, C46)</f>
        <v>0.52385454545454546</v>
      </c>
      <c r="D62" s="71" t="s">
        <v>213</v>
      </c>
    </row>
    <row r="63" spans="1:6" ht="16.2" x14ac:dyDescent="0.35">
      <c r="B63" s="75" t="s">
        <v>130</v>
      </c>
      <c r="C63" s="323">
        <f ca="1">C33*Haltedauer+C40*Haltedauer</f>
        <v>13.129940685067089</v>
      </c>
      <c r="D63" s="75" t="s">
        <v>213</v>
      </c>
      <c r="E63" s="74"/>
    </row>
  </sheetData>
  <sheetProtection sheet="1" objects="1" scenarios="1"/>
  <mergeCells count="4">
    <mergeCell ref="A46:A47"/>
    <mergeCell ref="B46:B47"/>
    <mergeCell ref="B22:B23"/>
    <mergeCell ref="A22:A23"/>
  </mergeCells>
  <conditionalFormatting sqref="A16:D23">
    <cfRule type="expression" dxfId="0" priority="1">
      <formula>Antriebsart5&lt;&gt;"Plug-In-Hybrid (PHEV)"</formula>
    </cfRule>
  </conditionalFormatting>
  <hyperlinks>
    <hyperlink ref="E2" location="Anleitung!A1" display="zurück zu &quot;Anleitung&quot;" xr:uid="{00000000-0004-0000-0A00-000000000000}"/>
  </hyperlinks>
  <pageMargins left="0.25" right="0.25" top="0.75" bottom="0.75" header="0.3" footer="0.3"/>
  <pageSetup paperSize="9" scale="78"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E33"/>
  <sheetViews>
    <sheetView showGridLines="0" zoomScaleNormal="100" workbookViewId="0"/>
  </sheetViews>
  <sheetFormatPr baseColWidth="10" defaultColWidth="11.5546875" defaultRowHeight="13.8" x14ac:dyDescent="0.25"/>
  <cols>
    <col min="1" max="1" width="4.6640625" style="1" customWidth="1"/>
    <col min="2" max="2" width="15.33203125" style="1" bestFit="1" customWidth="1"/>
    <col min="3" max="8" width="11.5546875" style="1"/>
    <col min="9" max="9" width="7" style="1" customWidth="1"/>
    <col min="10" max="10" width="6.6640625" style="1" customWidth="1"/>
    <col min="11" max="12" width="6.33203125" style="1" customWidth="1"/>
    <col min="13" max="13" width="6" style="1" customWidth="1"/>
    <col min="14" max="15" width="6.109375" style="1" bestFit="1" customWidth="1"/>
    <col min="16" max="16" width="6" style="1" customWidth="1"/>
    <col min="17" max="21" width="6.6640625" style="1" bestFit="1" customWidth="1"/>
    <col min="22" max="25" width="7.6640625" style="1" bestFit="1" customWidth="1"/>
    <col min="26" max="26" width="6.6640625" style="1" bestFit="1" customWidth="1"/>
    <col min="27" max="30" width="7.6640625" style="1" bestFit="1" customWidth="1"/>
    <col min="31" max="31" width="6.109375" style="1" bestFit="1" customWidth="1"/>
    <col min="32" max="35" width="6.6640625" style="1" bestFit="1" customWidth="1"/>
    <col min="36" max="16384" width="11.5546875" style="1"/>
  </cols>
  <sheetData>
    <row r="2" spans="1:8" x14ac:dyDescent="0.25">
      <c r="B2" s="2" t="s">
        <v>218</v>
      </c>
      <c r="G2" s="118" t="s">
        <v>28</v>
      </c>
    </row>
    <row r="4" spans="1:8" x14ac:dyDescent="0.25">
      <c r="B4" s="3" t="s">
        <v>219</v>
      </c>
      <c r="C4" s="5"/>
      <c r="D4" s="5"/>
      <c r="E4" s="5"/>
    </row>
    <row r="6" spans="1:8" x14ac:dyDescent="0.25">
      <c r="C6" s="65" t="s">
        <v>220</v>
      </c>
      <c r="D6" s="65" t="s">
        <v>221</v>
      </c>
      <c r="E6" s="1" t="s">
        <v>140</v>
      </c>
    </row>
    <row r="7" spans="1:8" ht="16.2" x14ac:dyDescent="0.35">
      <c r="B7" s="1" t="s">
        <v>67</v>
      </c>
      <c r="C7" s="10">
        <v>74</v>
      </c>
      <c r="D7" s="10">
        <v>15.8</v>
      </c>
      <c r="E7" s="12" t="s">
        <v>222</v>
      </c>
    </row>
    <row r="8" spans="1:8" ht="16.2" x14ac:dyDescent="0.35">
      <c r="B8" s="1" t="s">
        <v>68</v>
      </c>
      <c r="C8" s="10">
        <v>75.2</v>
      </c>
      <c r="D8" s="10">
        <v>14.2</v>
      </c>
      <c r="E8" s="12" t="s">
        <v>222</v>
      </c>
    </row>
    <row r="9" spans="1:8" ht="16.2" x14ac:dyDescent="0.35">
      <c r="B9" s="1" t="s">
        <v>167</v>
      </c>
      <c r="C9" s="10">
        <v>55.8</v>
      </c>
      <c r="D9" s="10">
        <v>13.7</v>
      </c>
      <c r="E9" s="12" t="s">
        <v>222</v>
      </c>
    </row>
    <row r="10" spans="1:8" ht="8.4" customHeight="1" x14ac:dyDescent="0.25">
      <c r="C10" s="10"/>
      <c r="D10" s="10"/>
    </row>
    <row r="11" spans="1:8" ht="12" customHeight="1" x14ac:dyDescent="0.25">
      <c r="B11" s="103" t="s">
        <v>223</v>
      </c>
      <c r="C11" s="10"/>
      <c r="D11" s="10"/>
    </row>
    <row r="12" spans="1:8" x14ac:dyDescent="0.25">
      <c r="C12" s="10"/>
    </row>
    <row r="13" spans="1:8" x14ac:dyDescent="0.25">
      <c r="B13" s="3" t="s">
        <v>224</v>
      </c>
      <c r="C13" s="104"/>
      <c r="D13" s="5"/>
      <c r="E13" s="5"/>
    </row>
    <row r="14" spans="1:8" x14ac:dyDescent="0.25">
      <c r="B14" s="7"/>
      <c r="C14" s="15"/>
      <c r="D14" s="7"/>
      <c r="E14" s="7"/>
      <c r="F14" s="7"/>
      <c r="H14" s="119"/>
    </row>
    <row r="15" spans="1:8" ht="14.4" customHeight="1" x14ac:dyDescent="0.25">
      <c r="B15" s="122" t="s">
        <v>65</v>
      </c>
      <c r="C15" s="388" t="s">
        <v>225</v>
      </c>
      <c r="D15" s="388"/>
      <c r="E15" s="389" t="s">
        <v>226</v>
      </c>
      <c r="F15" s="389"/>
    </row>
    <row r="16" spans="1:8" x14ac:dyDescent="0.25">
      <c r="A16" s="69"/>
      <c r="B16" s="1" t="s">
        <v>67</v>
      </c>
      <c r="C16" s="60">
        <v>1</v>
      </c>
      <c r="D16" s="1" t="s">
        <v>227</v>
      </c>
      <c r="E16" s="60">
        <v>35.872</v>
      </c>
      <c r="F16" s="123" t="s">
        <v>228</v>
      </c>
    </row>
    <row r="17" spans="1:31" x14ac:dyDescent="0.25">
      <c r="B17" s="1" t="s">
        <v>68</v>
      </c>
      <c r="C17" s="60">
        <v>1</v>
      </c>
      <c r="D17" s="1" t="s">
        <v>227</v>
      </c>
      <c r="E17" s="60">
        <v>32.44</v>
      </c>
      <c r="F17" s="123" t="s">
        <v>228</v>
      </c>
    </row>
    <row r="18" spans="1:31" x14ac:dyDescent="0.25">
      <c r="A18" s="69"/>
      <c r="B18" s="1" t="s">
        <v>167</v>
      </c>
      <c r="C18" s="60">
        <v>1</v>
      </c>
      <c r="D18" s="1" t="s">
        <v>229</v>
      </c>
      <c r="E18" s="60">
        <v>46.5</v>
      </c>
      <c r="F18" s="123" t="s">
        <v>228</v>
      </c>
    </row>
    <row r="19" spans="1:31" ht="9.6" customHeight="1" x14ac:dyDescent="0.25">
      <c r="C19" s="10"/>
      <c r="E19" s="10"/>
      <c r="F19" s="68"/>
    </row>
    <row r="20" spans="1:31" ht="10.199999999999999" customHeight="1" x14ac:dyDescent="0.25">
      <c r="B20" s="103" t="s">
        <v>230</v>
      </c>
      <c r="D20" s="118"/>
      <c r="E20" s="10"/>
    </row>
    <row r="23" spans="1:31" x14ac:dyDescent="0.25">
      <c r="B23" s="3" t="s">
        <v>219</v>
      </c>
      <c r="C23" s="5"/>
      <c r="D23" s="5"/>
      <c r="E23" s="5"/>
    </row>
    <row r="24" spans="1:31" x14ac:dyDescent="0.25">
      <c r="B24" s="69"/>
      <c r="H24" s="147" t="s">
        <v>231</v>
      </c>
      <c r="I24" s="147"/>
      <c r="J24" s="147"/>
      <c r="K24" s="147"/>
      <c r="M24" s="151" t="s">
        <v>232</v>
      </c>
      <c r="N24" s="151"/>
      <c r="O24" s="151"/>
      <c r="P24" s="151"/>
      <c r="Q24" s="151"/>
      <c r="R24" s="151"/>
    </row>
    <row r="25" spans="1:31" x14ac:dyDescent="0.25">
      <c r="B25" s="69"/>
      <c r="C25" s="65" t="s">
        <v>220</v>
      </c>
      <c r="D25" s="65" t="s">
        <v>221</v>
      </c>
      <c r="E25" s="1" t="s">
        <v>140</v>
      </c>
    </row>
    <row r="26" spans="1:31" ht="16.2" x14ac:dyDescent="0.35">
      <c r="A26" s="153" t="s">
        <v>17</v>
      </c>
      <c r="B26" s="7" t="s">
        <v>66</v>
      </c>
      <c r="C26" s="60">
        <v>0</v>
      </c>
      <c r="D26" s="150">
        <f ca="1">SUMIF(I26:AE26,YEAR(TODAY())+ROUND(Haltedauer,0),I28:AE28)</f>
        <v>343.86399999999992</v>
      </c>
      <c r="E26" s="77" t="s">
        <v>233</v>
      </c>
      <c r="F26" s="11"/>
      <c r="H26" s="60" t="s">
        <v>234</v>
      </c>
      <c r="I26" s="2">
        <v>2022</v>
      </c>
      <c r="J26" s="2">
        <v>2023</v>
      </c>
      <c r="K26" s="2">
        <v>2024</v>
      </c>
      <c r="L26" s="2">
        <v>2025</v>
      </c>
      <c r="M26" s="2">
        <v>2026</v>
      </c>
      <c r="N26" s="2">
        <v>2027</v>
      </c>
      <c r="O26" s="2">
        <v>2028</v>
      </c>
      <c r="P26" s="2">
        <v>2029</v>
      </c>
      <c r="Q26" s="2">
        <v>2030</v>
      </c>
      <c r="R26" s="2">
        <v>2031</v>
      </c>
      <c r="S26" s="2">
        <v>2032</v>
      </c>
      <c r="T26" s="2">
        <v>2033</v>
      </c>
      <c r="U26" s="2">
        <v>2034</v>
      </c>
      <c r="V26" s="2">
        <v>2035</v>
      </c>
      <c r="W26" s="2">
        <v>2036</v>
      </c>
      <c r="X26" s="2">
        <v>2037</v>
      </c>
      <c r="Y26" s="2">
        <v>2038</v>
      </c>
      <c r="Z26" s="2">
        <v>2039</v>
      </c>
      <c r="AA26" s="2">
        <v>2040</v>
      </c>
      <c r="AB26" s="2">
        <v>2041</v>
      </c>
      <c r="AC26" s="2">
        <v>2042</v>
      </c>
      <c r="AD26" s="2">
        <v>2043</v>
      </c>
      <c r="AE26" s="2">
        <v>2044</v>
      </c>
    </row>
    <row r="27" spans="1:31" ht="16.2" x14ac:dyDescent="0.35">
      <c r="A27" s="390" t="s">
        <v>17</v>
      </c>
      <c r="B27" s="1" t="s">
        <v>67</v>
      </c>
      <c r="C27" s="107">
        <f>C7*E16</f>
        <v>2654.5279999999998</v>
      </c>
      <c r="D27" s="107">
        <f>D7*E16</f>
        <v>566.77760000000001</v>
      </c>
      <c r="E27" s="12" t="s">
        <v>235</v>
      </c>
      <c r="H27" s="60" t="s">
        <v>236</v>
      </c>
      <c r="I27" s="148">
        <v>420</v>
      </c>
      <c r="J27" s="149">
        <v>402.53333333333336</v>
      </c>
      <c r="K27" s="149">
        <v>385.06666666666672</v>
      </c>
      <c r="L27" s="152">
        <v>367.6</v>
      </c>
      <c r="M27" s="1">
        <v>351.6</v>
      </c>
      <c r="N27" s="1">
        <v>335.6</v>
      </c>
      <c r="O27" s="1">
        <v>319.60000000000002</v>
      </c>
      <c r="P27" s="1">
        <v>303.60000000000002</v>
      </c>
      <c r="Q27" s="152">
        <v>287.60000000000002</v>
      </c>
      <c r="R27" s="1">
        <v>265.44</v>
      </c>
      <c r="S27" s="1">
        <v>243.28</v>
      </c>
      <c r="T27" s="1">
        <v>221.12</v>
      </c>
      <c r="U27" s="1">
        <v>198.96</v>
      </c>
      <c r="V27" s="152">
        <v>176.8</v>
      </c>
      <c r="W27" s="149">
        <v>158.84</v>
      </c>
      <c r="X27" s="149">
        <v>140.88</v>
      </c>
      <c r="Y27" s="149">
        <v>122.91999999999999</v>
      </c>
      <c r="Z27" s="1">
        <v>104.95999999999998</v>
      </c>
      <c r="AA27" s="152">
        <v>87</v>
      </c>
      <c r="AB27" s="107">
        <v>69.04000000000002</v>
      </c>
      <c r="AC27" s="149">
        <v>51.080000000000041</v>
      </c>
      <c r="AD27" s="149">
        <v>33.120000000000061</v>
      </c>
      <c r="AE27" s="1">
        <v>15.160000000000082</v>
      </c>
    </row>
    <row r="28" spans="1:31" ht="16.2" x14ac:dyDescent="0.35">
      <c r="A28" s="345"/>
      <c r="B28" s="1" t="s">
        <v>68</v>
      </c>
      <c r="C28" s="107">
        <f>C8*E17</f>
        <v>2439.4879999999998</v>
      </c>
      <c r="D28" s="107">
        <f>D8*E17</f>
        <v>460.64799999999997</v>
      </c>
      <c r="E28" s="12" t="s">
        <v>235</v>
      </c>
      <c r="H28" s="60" t="s">
        <v>237</v>
      </c>
      <c r="I28" s="1">
        <v>420</v>
      </c>
      <c r="J28" s="149">
        <f>AVERAGE($I$27:J27)</f>
        <v>411.26666666666665</v>
      </c>
      <c r="K28" s="149">
        <f>AVERAGE($I$27:K27)</f>
        <v>402.5333333333333</v>
      </c>
      <c r="L28" s="149">
        <f>AVERAGE($I$27:L27)</f>
        <v>393.79999999999995</v>
      </c>
      <c r="M28" s="149">
        <f>AVERAGE($I$27:M27)</f>
        <v>385.35999999999996</v>
      </c>
      <c r="N28" s="149">
        <f>AVERAGE($I$27:N27)</f>
        <v>377.06666666666661</v>
      </c>
      <c r="O28" s="149">
        <f>AVERAGE($I$27:O27)</f>
        <v>368.85714285714278</v>
      </c>
      <c r="P28" s="149">
        <f>AVERAGE($I$27:P27)</f>
        <v>360.69999999999993</v>
      </c>
      <c r="Q28" s="149">
        <f>AVERAGE($I$27:Q27)</f>
        <v>352.57777777777773</v>
      </c>
      <c r="R28" s="149">
        <f>AVERAGE($I$27:R27)</f>
        <v>343.86399999999992</v>
      </c>
      <c r="S28" s="149">
        <f>AVERAGE($I$27:S27)</f>
        <v>334.71999999999997</v>
      </c>
      <c r="T28" s="149">
        <f>AVERAGE($I$27:T27)</f>
        <v>325.25333333333327</v>
      </c>
      <c r="U28" s="149">
        <f>AVERAGE($I$27:U27)</f>
        <v>315.53846153846149</v>
      </c>
      <c r="V28" s="149">
        <f>AVERAGE($I$27:V27)</f>
        <v>305.62857142857138</v>
      </c>
      <c r="W28" s="149">
        <f>AVERAGE($I$27:W27)</f>
        <v>295.84266666666662</v>
      </c>
      <c r="X28" s="149">
        <f>AVERAGE($I$27:X27)</f>
        <v>286.15749999999997</v>
      </c>
      <c r="Y28" s="149">
        <f>AVERAGE($I$27:Y27)</f>
        <v>276.55529411764701</v>
      </c>
      <c r="Z28" s="149">
        <f>AVERAGE($I$27:Z27)</f>
        <v>267.02222222222218</v>
      </c>
      <c r="AA28" s="149">
        <f>AVERAGE($I$27:AA27)</f>
        <v>257.54736842105262</v>
      </c>
      <c r="AB28" s="149">
        <f>AVERAGE($I$27:AB27)</f>
        <v>248.12199999999999</v>
      </c>
      <c r="AC28" s="149">
        <f>AVERAGE($I$27:AC27)</f>
        <v>238.7390476190476</v>
      </c>
      <c r="AD28" s="149">
        <f>AVERAGE($I$27:AD27)</f>
        <v>229.39272727272726</v>
      </c>
      <c r="AE28" s="149">
        <f>AVERAGE($I$27:AE27)</f>
        <v>220.07826086956518</v>
      </c>
    </row>
    <row r="29" spans="1:31" ht="16.2" x14ac:dyDescent="0.35">
      <c r="A29" s="345"/>
      <c r="B29" s="1" t="s">
        <v>167</v>
      </c>
      <c r="C29" s="107">
        <f>C9*E18</f>
        <v>2594.6999999999998</v>
      </c>
      <c r="D29" s="107">
        <f>D9*E18</f>
        <v>637.04999999999995</v>
      </c>
      <c r="E29" s="12" t="s">
        <v>238</v>
      </c>
    </row>
    <row r="30" spans="1:31" x14ac:dyDescent="0.25">
      <c r="C30" s="105"/>
      <c r="D30" s="105"/>
    </row>
    <row r="31" spans="1:31" x14ac:dyDescent="0.25">
      <c r="C31" s="105"/>
      <c r="D31" s="105"/>
    </row>
    <row r="32" spans="1:31" x14ac:dyDescent="0.25">
      <c r="B32" s="116"/>
      <c r="C32" s="117"/>
      <c r="D32" s="10"/>
    </row>
    <row r="33" spans="3:3" x14ac:dyDescent="0.25">
      <c r="C33" s="106"/>
    </row>
  </sheetData>
  <sheetProtection sheet="1" objects="1" scenarios="1"/>
  <mergeCells count="3">
    <mergeCell ref="C15:D15"/>
    <mergeCell ref="E15:F15"/>
    <mergeCell ref="A27:A29"/>
  </mergeCells>
  <hyperlinks>
    <hyperlink ref="G2" location="Anleitung!A1" display="zurück zu &quot;Anleitung&quot;" xr:uid="{00000000-0004-0000-0B00-000000000000}"/>
  </hyperlinks>
  <pageMargins left="0.7" right="0.7" top="0.78740157499999996" bottom="0.78740157499999996" header="0.3" footer="0.3"/>
  <pageSetup paperSize="9" orientation="portrait" r:id="rId1"/>
  <ignoredErrors>
    <ignoredError sqref="I28:AD28" formulaRange="1"/>
  </ignoredError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35"/>
  <sheetViews>
    <sheetView showGridLines="0" zoomScaleNormal="100" workbookViewId="0"/>
  </sheetViews>
  <sheetFormatPr baseColWidth="10" defaultColWidth="11.5546875" defaultRowHeight="13.8" x14ac:dyDescent="0.25"/>
  <cols>
    <col min="1" max="1" width="4.5546875" style="1" customWidth="1"/>
    <col min="2" max="2" width="8" style="1" bestFit="1" customWidth="1"/>
    <col min="3" max="16384" width="11.5546875" style="1"/>
  </cols>
  <sheetData>
    <row r="2" spans="2:5" x14ac:dyDescent="0.25">
      <c r="B2" s="3" t="s">
        <v>239</v>
      </c>
      <c r="C2" s="5"/>
      <c r="D2" s="5"/>
      <c r="E2" s="5"/>
    </row>
    <row r="3" spans="2:5" x14ac:dyDescent="0.25">
      <c r="B3" s="1" t="s">
        <v>42</v>
      </c>
      <c r="C3" s="1" t="s">
        <v>96</v>
      </c>
      <c r="D3" s="1" t="s">
        <v>240</v>
      </c>
    </row>
    <row r="4" spans="2:5" x14ac:dyDescent="0.25">
      <c r="B4" s="1" t="s">
        <v>241</v>
      </c>
      <c r="C4" s="1" t="s">
        <v>242</v>
      </c>
      <c r="D4" s="1" t="s">
        <v>243</v>
      </c>
    </row>
    <row r="5" spans="2:5" x14ac:dyDescent="0.25">
      <c r="B5" s="1" t="s">
        <v>244</v>
      </c>
      <c r="C5" s="1" t="s">
        <v>242</v>
      </c>
      <c r="D5" s="1" t="s">
        <v>245</v>
      </c>
    </row>
    <row r="7" spans="2:5" x14ac:dyDescent="0.25">
      <c r="B7" s="3" t="s">
        <v>61</v>
      </c>
      <c r="C7" s="5"/>
      <c r="D7" s="5"/>
    </row>
    <row r="8" spans="2:5" x14ac:dyDescent="0.25">
      <c r="B8" s="1" t="s">
        <v>62</v>
      </c>
    </row>
    <row r="9" spans="2:5" x14ac:dyDescent="0.25">
      <c r="B9" s="1" t="s">
        <v>64</v>
      </c>
    </row>
    <row r="10" spans="2:5" x14ac:dyDescent="0.25">
      <c r="B10" s="1" t="s">
        <v>63</v>
      </c>
    </row>
    <row r="12" spans="2:5" x14ac:dyDescent="0.25">
      <c r="B12" s="3" t="s">
        <v>65</v>
      </c>
      <c r="C12" s="5"/>
    </row>
    <row r="13" spans="2:5" x14ac:dyDescent="0.25">
      <c r="B13" s="1" t="s">
        <v>246</v>
      </c>
    </row>
    <row r="14" spans="2:5" x14ac:dyDescent="0.25">
      <c r="B14" s="1" t="s">
        <v>247</v>
      </c>
      <c r="D14" s="1" t="s">
        <v>248</v>
      </c>
    </row>
    <row r="15" spans="2:5" x14ac:dyDescent="0.25">
      <c r="B15" s="1" t="s">
        <v>249</v>
      </c>
      <c r="D15" s="1" t="s">
        <v>250</v>
      </c>
    </row>
    <row r="16" spans="2:5" x14ac:dyDescent="0.25">
      <c r="B16" s="1" t="s">
        <v>251</v>
      </c>
    </row>
    <row r="17" spans="2:5" x14ac:dyDescent="0.25">
      <c r="B17" s="1" t="s">
        <v>252</v>
      </c>
    </row>
    <row r="19" spans="2:5" x14ac:dyDescent="0.25">
      <c r="B19" s="3" t="s">
        <v>253</v>
      </c>
      <c r="C19" s="5"/>
      <c r="D19" s="5"/>
      <c r="E19" s="5"/>
    </row>
    <row r="20" spans="2:5" x14ac:dyDescent="0.25">
      <c r="B20" s="1" t="s">
        <v>66</v>
      </c>
      <c r="D20" s="1" t="s">
        <v>110</v>
      </c>
    </row>
    <row r="21" spans="2:5" x14ac:dyDescent="0.25">
      <c r="B21" s="1" t="s">
        <v>67</v>
      </c>
      <c r="D21" s="1" t="s">
        <v>227</v>
      </c>
    </row>
    <row r="22" spans="2:5" x14ac:dyDescent="0.25">
      <c r="B22" s="1" t="s">
        <v>68</v>
      </c>
      <c r="D22" s="1" t="s">
        <v>227</v>
      </c>
    </row>
    <row r="23" spans="2:5" x14ac:dyDescent="0.25">
      <c r="B23" s="1" t="s">
        <v>167</v>
      </c>
      <c r="D23" s="1" t="s">
        <v>229</v>
      </c>
    </row>
    <row r="25" spans="2:5" x14ac:dyDescent="0.25">
      <c r="B25" s="3" t="s">
        <v>254</v>
      </c>
      <c r="C25" s="5"/>
      <c r="D25" s="5"/>
    </row>
    <row r="26" spans="2:5" x14ac:dyDescent="0.25">
      <c r="B26" s="1" t="s">
        <v>120</v>
      </c>
    </row>
    <row r="27" spans="2:5" x14ac:dyDescent="0.25">
      <c r="B27" s="1" t="s">
        <v>46</v>
      </c>
    </row>
    <row r="29" spans="2:5" x14ac:dyDescent="0.25">
      <c r="B29" s="3" t="s">
        <v>37</v>
      </c>
      <c r="C29" s="3"/>
    </row>
    <row r="30" spans="2:5" x14ac:dyDescent="0.25">
      <c r="B30" s="1" t="s">
        <v>38</v>
      </c>
    </row>
    <row r="31" spans="2:5" x14ac:dyDescent="0.25">
      <c r="B31" s="1" t="s">
        <v>255</v>
      </c>
    </row>
    <row r="33" spans="2:5" x14ac:dyDescent="0.25">
      <c r="B33" s="3" t="s">
        <v>172</v>
      </c>
      <c r="C33" s="5"/>
      <c r="D33" s="5"/>
      <c r="E33" s="5"/>
    </row>
    <row r="34" spans="2:5" x14ac:dyDescent="0.25">
      <c r="B34" s="12" t="s">
        <v>256</v>
      </c>
    </row>
    <row r="35" spans="2:5" x14ac:dyDescent="0.25">
      <c r="B35" s="12" t="s">
        <v>48</v>
      </c>
    </row>
  </sheetData>
  <sheetProtection sheet="1" objects="1" scenarios="1"/>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Q172"/>
  <sheetViews>
    <sheetView showGridLines="0" zoomScaleNormal="100" workbookViewId="0"/>
  </sheetViews>
  <sheetFormatPr baseColWidth="10" defaultColWidth="11.5546875" defaultRowHeight="13.8" x14ac:dyDescent="0.25"/>
  <cols>
    <col min="1" max="1" width="4.6640625" style="1" customWidth="1"/>
    <col min="2" max="16384" width="11.5546875" style="1"/>
  </cols>
  <sheetData>
    <row r="2" spans="2:17" x14ac:dyDescent="0.25">
      <c r="B2" s="2" t="s">
        <v>257</v>
      </c>
      <c r="Q2" s="118" t="s">
        <v>28</v>
      </c>
    </row>
    <row r="39" spans="2:9" ht="15" customHeight="1" x14ac:dyDescent="0.25">
      <c r="B39" s="265" t="s">
        <v>258</v>
      </c>
    </row>
    <row r="40" spans="2:9" ht="15" customHeight="1" x14ac:dyDescent="0.25">
      <c r="B40" s="265" t="s">
        <v>259</v>
      </c>
    </row>
    <row r="41" spans="2:9" ht="15" customHeight="1" x14ac:dyDescent="0.25">
      <c r="B41" s="265" t="s">
        <v>260</v>
      </c>
    </row>
    <row r="42" spans="2:9" ht="15" customHeight="1" x14ac:dyDescent="0.25">
      <c r="B42" s="265"/>
    </row>
    <row r="43" spans="2:9" ht="15" customHeight="1" x14ac:dyDescent="0.25">
      <c r="B43" s="265"/>
    </row>
    <row r="44" spans="2:9" ht="15" customHeight="1" x14ac:dyDescent="0.25">
      <c r="B44" s="2" t="s">
        <v>261</v>
      </c>
    </row>
    <row r="45" spans="2:9" ht="15" customHeight="1" x14ac:dyDescent="0.25">
      <c r="B45" s="301" t="s">
        <v>262</v>
      </c>
      <c r="I45" s="118"/>
    </row>
    <row r="46" spans="2:9" ht="15" customHeight="1" x14ac:dyDescent="0.25">
      <c r="B46" s="300"/>
      <c r="I46" s="118"/>
    </row>
    <row r="48" spans="2:9" x14ac:dyDescent="0.25">
      <c r="B48" s="2" t="s">
        <v>263</v>
      </c>
    </row>
    <row r="50" spans="2:4" x14ac:dyDescent="0.25">
      <c r="B50" s="1" t="s">
        <v>264</v>
      </c>
      <c r="D50" s="1" t="s">
        <v>265</v>
      </c>
    </row>
    <row r="51" spans="2:4" x14ac:dyDescent="0.25">
      <c r="B51" s="1" t="s">
        <v>266</v>
      </c>
      <c r="D51" s="1" t="s">
        <v>267</v>
      </c>
    </row>
    <row r="52" spans="2:4" x14ac:dyDescent="0.25">
      <c r="B52" s="1" t="s">
        <v>268</v>
      </c>
      <c r="D52" s="1" t="s">
        <v>269</v>
      </c>
    </row>
    <row r="53" spans="2:4" x14ac:dyDescent="0.25">
      <c r="B53" s="1" t="s">
        <v>43</v>
      </c>
      <c r="D53" s="1" t="s">
        <v>270</v>
      </c>
    </row>
    <row r="54" spans="2:4" x14ac:dyDescent="0.25">
      <c r="B54" s="1" t="s">
        <v>271</v>
      </c>
      <c r="D54" s="1" t="s">
        <v>272</v>
      </c>
    </row>
    <row r="55" spans="2:4" x14ac:dyDescent="0.25">
      <c r="B55" s="1" t="s">
        <v>273</v>
      </c>
      <c r="D55" s="1" t="s">
        <v>274</v>
      </c>
    </row>
    <row r="56" spans="2:4" x14ac:dyDescent="0.25">
      <c r="B56" s="1" t="s">
        <v>275</v>
      </c>
      <c r="D56" s="1" t="s">
        <v>276</v>
      </c>
    </row>
    <row r="57" spans="2:4" x14ac:dyDescent="0.25">
      <c r="B57" s="1" t="s">
        <v>277</v>
      </c>
      <c r="D57" s="1" t="s">
        <v>278</v>
      </c>
    </row>
    <row r="58" spans="2:4" x14ac:dyDescent="0.25">
      <c r="B58" s="1" t="s">
        <v>279</v>
      </c>
      <c r="D58" s="1" t="s">
        <v>280</v>
      </c>
    </row>
    <row r="59" spans="2:4" x14ac:dyDescent="0.25">
      <c r="B59" s="1" t="s">
        <v>281</v>
      </c>
      <c r="D59" s="1" t="s">
        <v>282</v>
      </c>
    </row>
    <row r="60" spans="2:4" x14ac:dyDescent="0.25">
      <c r="B60" s="1" t="s">
        <v>283</v>
      </c>
      <c r="D60" s="1" t="s">
        <v>284</v>
      </c>
    </row>
    <row r="61" spans="2:4" x14ac:dyDescent="0.25">
      <c r="B61" s="1" t="s">
        <v>285</v>
      </c>
      <c r="D61" s="1" t="s">
        <v>286</v>
      </c>
    </row>
    <row r="62" spans="2:4" x14ac:dyDescent="0.25">
      <c r="B62" s="1" t="s">
        <v>287</v>
      </c>
      <c r="D62" s="1" t="s">
        <v>288</v>
      </c>
    </row>
    <row r="63" spans="2:4" x14ac:dyDescent="0.25">
      <c r="B63" s="1" t="s">
        <v>289</v>
      </c>
      <c r="D63" s="1" t="s">
        <v>290</v>
      </c>
    </row>
    <row r="64" spans="2:4" x14ac:dyDescent="0.25">
      <c r="B64" s="1" t="s">
        <v>291</v>
      </c>
      <c r="D64" s="1" t="s">
        <v>292</v>
      </c>
    </row>
    <row r="65" spans="2:4" x14ac:dyDescent="0.25">
      <c r="B65" s="1" t="s">
        <v>293</v>
      </c>
      <c r="D65" s="1" t="s">
        <v>294</v>
      </c>
    </row>
    <row r="66" spans="2:4" x14ac:dyDescent="0.25">
      <c r="B66" s="1" t="s">
        <v>295</v>
      </c>
      <c r="D66" s="1" t="s">
        <v>296</v>
      </c>
    </row>
    <row r="67" spans="2:4" x14ac:dyDescent="0.25">
      <c r="B67" s="1" t="s">
        <v>297</v>
      </c>
      <c r="D67" s="1" t="s">
        <v>298</v>
      </c>
    </row>
    <row r="68" spans="2:4" x14ac:dyDescent="0.25">
      <c r="B68" s="1" t="s">
        <v>299</v>
      </c>
      <c r="D68" s="1" t="s">
        <v>300</v>
      </c>
    </row>
    <row r="69" spans="2:4" x14ac:dyDescent="0.25">
      <c r="B69" s="1" t="s">
        <v>301</v>
      </c>
      <c r="D69" s="1" t="s">
        <v>302</v>
      </c>
    </row>
    <row r="70" spans="2:4" x14ac:dyDescent="0.25">
      <c r="B70" s="1" t="s">
        <v>303</v>
      </c>
      <c r="D70" s="1" t="s">
        <v>304</v>
      </c>
    </row>
    <row r="71" spans="2:4" x14ac:dyDescent="0.25">
      <c r="B71" s="1" t="s">
        <v>305</v>
      </c>
      <c r="D71" s="1" t="s">
        <v>306</v>
      </c>
    </row>
    <row r="72" spans="2:4" x14ac:dyDescent="0.25">
      <c r="B72" s="1" t="s">
        <v>307</v>
      </c>
      <c r="D72" s="1" t="s">
        <v>308</v>
      </c>
    </row>
    <row r="73" spans="2:4" x14ac:dyDescent="0.25">
      <c r="B73" s="1" t="s">
        <v>309</v>
      </c>
      <c r="D73" s="1" t="s">
        <v>310</v>
      </c>
    </row>
    <row r="74" spans="2:4" x14ac:dyDescent="0.25">
      <c r="B74" s="1" t="s">
        <v>311</v>
      </c>
      <c r="D74" s="1" t="s">
        <v>312</v>
      </c>
    </row>
    <row r="75" spans="2:4" x14ac:dyDescent="0.25">
      <c r="B75" s="1" t="s">
        <v>313</v>
      </c>
      <c r="D75" s="1" t="s">
        <v>314</v>
      </c>
    </row>
    <row r="76" spans="2:4" x14ac:dyDescent="0.25">
      <c r="B76" s="1" t="s">
        <v>315</v>
      </c>
      <c r="D76" s="1" t="s">
        <v>316</v>
      </c>
    </row>
    <row r="77" spans="2:4" x14ac:dyDescent="0.25">
      <c r="B77" s="1" t="s">
        <v>317</v>
      </c>
      <c r="D77" s="1" t="s">
        <v>318</v>
      </c>
    </row>
    <row r="78" spans="2:4" x14ac:dyDescent="0.25">
      <c r="B78" s="1" t="s">
        <v>319</v>
      </c>
      <c r="D78" s="1" t="s">
        <v>320</v>
      </c>
    </row>
    <row r="79" spans="2:4" x14ac:dyDescent="0.25">
      <c r="B79" s="1" t="s">
        <v>321</v>
      </c>
      <c r="D79" s="1" t="s">
        <v>322</v>
      </c>
    </row>
    <row r="80" spans="2:4" x14ac:dyDescent="0.25">
      <c r="B80" s="1" t="s">
        <v>323</v>
      </c>
      <c r="D80" s="1" t="s">
        <v>324</v>
      </c>
    </row>
    <row r="81" spans="2:4" x14ac:dyDescent="0.25">
      <c r="B81" s="1" t="s">
        <v>325</v>
      </c>
      <c r="D81" s="1" t="s">
        <v>326</v>
      </c>
    </row>
    <row r="82" spans="2:4" x14ac:dyDescent="0.25">
      <c r="B82" s="1" t="s">
        <v>327</v>
      </c>
      <c r="D82" s="1" t="s">
        <v>328</v>
      </c>
    </row>
    <row r="83" spans="2:4" x14ac:dyDescent="0.25">
      <c r="B83" s="1" t="s">
        <v>329</v>
      </c>
      <c r="D83" s="1" t="s">
        <v>330</v>
      </c>
    </row>
    <row r="84" spans="2:4" x14ac:dyDescent="0.25">
      <c r="B84" s="1" t="s">
        <v>331</v>
      </c>
      <c r="D84" s="1" t="s">
        <v>332</v>
      </c>
    </row>
    <row r="85" spans="2:4" x14ac:dyDescent="0.25">
      <c r="B85" s="1" t="s">
        <v>333</v>
      </c>
      <c r="D85" s="1" t="s">
        <v>334</v>
      </c>
    </row>
    <row r="86" spans="2:4" x14ac:dyDescent="0.25">
      <c r="B86" s="1" t="s">
        <v>335</v>
      </c>
      <c r="D86" s="1" t="s">
        <v>336</v>
      </c>
    </row>
    <row r="87" spans="2:4" x14ac:dyDescent="0.25">
      <c r="B87" s="1" t="s">
        <v>337</v>
      </c>
      <c r="D87" s="1" t="s">
        <v>338</v>
      </c>
    </row>
    <row r="88" spans="2:4" x14ac:dyDescent="0.25">
      <c r="B88" s="1" t="s">
        <v>339</v>
      </c>
      <c r="D88" s="1" t="s">
        <v>340</v>
      </c>
    </row>
    <row r="89" spans="2:4" x14ac:dyDescent="0.25">
      <c r="B89" s="1" t="s">
        <v>341</v>
      </c>
      <c r="D89" s="1" t="s">
        <v>342</v>
      </c>
    </row>
    <row r="90" spans="2:4" x14ac:dyDescent="0.25">
      <c r="B90" s="1" t="s">
        <v>343</v>
      </c>
      <c r="D90" s="1" t="s">
        <v>344</v>
      </c>
    </row>
    <row r="91" spans="2:4" x14ac:dyDescent="0.25">
      <c r="B91" s="1" t="s">
        <v>345</v>
      </c>
      <c r="D91" s="1" t="s">
        <v>346</v>
      </c>
    </row>
    <row r="92" spans="2:4" x14ac:dyDescent="0.25">
      <c r="B92" s="1" t="s">
        <v>347</v>
      </c>
      <c r="D92" s="1" t="s">
        <v>348</v>
      </c>
    </row>
    <row r="93" spans="2:4" x14ac:dyDescent="0.25">
      <c r="B93" s="1" t="s">
        <v>349</v>
      </c>
      <c r="D93" s="1" t="s">
        <v>350</v>
      </c>
    </row>
    <row r="94" spans="2:4" x14ac:dyDescent="0.25">
      <c r="B94" s="1" t="s">
        <v>351</v>
      </c>
      <c r="D94" s="1" t="s">
        <v>352</v>
      </c>
    </row>
    <row r="95" spans="2:4" x14ac:dyDescent="0.25">
      <c r="B95" s="1" t="s">
        <v>353</v>
      </c>
      <c r="D95" s="1" t="s">
        <v>354</v>
      </c>
    </row>
    <row r="96" spans="2:4" x14ac:dyDescent="0.25">
      <c r="B96" s="1" t="s">
        <v>355</v>
      </c>
      <c r="D96" s="1" t="s">
        <v>356</v>
      </c>
    </row>
    <row r="97" spans="2:4" x14ac:dyDescent="0.25">
      <c r="B97" s="1" t="s">
        <v>357</v>
      </c>
      <c r="D97" s="1" t="s">
        <v>358</v>
      </c>
    </row>
    <row r="98" spans="2:4" x14ac:dyDescent="0.25">
      <c r="B98" s="1" t="s">
        <v>359</v>
      </c>
      <c r="D98" s="1" t="s">
        <v>360</v>
      </c>
    </row>
    <row r="99" spans="2:4" x14ac:dyDescent="0.25">
      <c r="B99" s="1" t="s">
        <v>361</v>
      </c>
      <c r="D99" s="1" t="s">
        <v>362</v>
      </c>
    </row>
    <row r="100" spans="2:4" x14ac:dyDescent="0.25">
      <c r="B100" s="1" t="s">
        <v>363</v>
      </c>
      <c r="D100" s="1" t="s">
        <v>364</v>
      </c>
    </row>
    <row r="101" spans="2:4" x14ac:dyDescent="0.25">
      <c r="B101" s="1" t="s">
        <v>365</v>
      </c>
      <c r="D101" s="1" t="s">
        <v>366</v>
      </c>
    </row>
    <row r="102" spans="2:4" x14ac:dyDescent="0.25">
      <c r="B102" s="1" t="s">
        <v>367</v>
      </c>
      <c r="D102" s="1" t="s">
        <v>368</v>
      </c>
    </row>
    <row r="103" spans="2:4" x14ac:dyDescent="0.25">
      <c r="B103" s="1" t="s">
        <v>369</v>
      </c>
      <c r="D103" s="1" t="s">
        <v>370</v>
      </c>
    </row>
    <row r="104" spans="2:4" x14ac:dyDescent="0.25">
      <c r="B104" s="1" t="s">
        <v>371</v>
      </c>
      <c r="D104" s="1" t="s">
        <v>372</v>
      </c>
    </row>
    <row r="105" spans="2:4" x14ac:dyDescent="0.25">
      <c r="B105" s="1" t="s">
        <v>373</v>
      </c>
      <c r="D105" s="1" t="s">
        <v>374</v>
      </c>
    </row>
    <row r="106" spans="2:4" x14ac:dyDescent="0.25">
      <c r="B106" s="1" t="s">
        <v>375</v>
      </c>
      <c r="D106" s="1" t="s">
        <v>376</v>
      </c>
    </row>
    <row r="107" spans="2:4" x14ac:dyDescent="0.25">
      <c r="B107" s="1" t="s">
        <v>377</v>
      </c>
      <c r="D107" s="1" t="s">
        <v>378</v>
      </c>
    </row>
    <row r="108" spans="2:4" x14ac:dyDescent="0.25">
      <c r="B108" s="1" t="s">
        <v>379</v>
      </c>
      <c r="D108" s="1" t="s">
        <v>380</v>
      </c>
    </row>
    <row r="109" spans="2:4" x14ac:dyDescent="0.25">
      <c r="B109" s="1" t="s">
        <v>381</v>
      </c>
      <c r="D109" s="1" t="s">
        <v>382</v>
      </c>
    </row>
    <row r="110" spans="2:4" x14ac:dyDescent="0.25">
      <c r="B110" s="1" t="s">
        <v>383</v>
      </c>
      <c r="D110" s="1" t="s">
        <v>384</v>
      </c>
    </row>
    <row r="111" spans="2:4" x14ac:dyDescent="0.25">
      <c r="B111" s="1" t="s">
        <v>385</v>
      </c>
      <c r="D111" s="1" t="s">
        <v>386</v>
      </c>
    </row>
    <row r="112" spans="2:4" x14ac:dyDescent="0.25">
      <c r="B112" s="1" t="s">
        <v>387</v>
      </c>
      <c r="D112" s="1" t="s">
        <v>388</v>
      </c>
    </row>
    <row r="113" spans="2:4" x14ac:dyDescent="0.25">
      <c r="B113" s="1" t="s">
        <v>389</v>
      </c>
      <c r="D113" s="1" t="s">
        <v>390</v>
      </c>
    </row>
    <row r="114" spans="2:4" x14ac:dyDescent="0.25">
      <c r="B114" s="1" t="s">
        <v>391</v>
      </c>
      <c r="D114" s="1" t="s">
        <v>392</v>
      </c>
    </row>
    <row r="115" spans="2:4" x14ac:dyDescent="0.25">
      <c r="B115" s="1" t="s">
        <v>393</v>
      </c>
      <c r="D115" s="1" t="s">
        <v>394</v>
      </c>
    </row>
    <row r="116" spans="2:4" x14ac:dyDescent="0.25">
      <c r="B116" s="1" t="s">
        <v>395</v>
      </c>
      <c r="D116" s="1" t="s">
        <v>396</v>
      </c>
    </row>
    <row r="117" spans="2:4" x14ac:dyDescent="0.25">
      <c r="B117" s="1" t="s">
        <v>397</v>
      </c>
      <c r="D117" s="1" t="s">
        <v>398</v>
      </c>
    </row>
    <row r="118" spans="2:4" x14ac:dyDescent="0.25">
      <c r="B118" s="1" t="s">
        <v>399</v>
      </c>
      <c r="D118" s="1" t="s">
        <v>400</v>
      </c>
    </row>
    <row r="119" spans="2:4" x14ac:dyDescent="0.25">
      <c r="B119" s="1" t="s">
        <v>401</v>
      </c>
      <c r="D119" s="1" t="s">
        <v>402</v>
      </c>
    </row>
    <row r="120" spans="2:4" x14ac:dyDescent="0.25">
      <c r="B120" s="1" t="s">
        <v>403</v>
      </c>
      <c r="D120" s="1" t="s">
        <v>404</v>
      </c>
    </row>
    <row r="121" spans="2:4" x14ac:dyDescent="0.25">
      <c r="B121" s="1" t="s">
        <v>405</v>
      </c>
      <c r="D121" s="1" t="s">
        <v>406</v>
      </c>
    </row>
    <row r="122" spans="2:4" x14ac:dyDescent="0.25">
      <c r="B122" s="1" t="s">
        <v>407</v>
      </c>
      <c r="D122" s="1" t="s">
        <v>408</v>
      </c>
    </row>
    <row r="123" spans="2:4" x14ac:dyDescent="0.25">
      <c r="B123" s="1" t="s">
        <v>409</v>
      </c>
      <c r="D123" s="1" t="s">
        <v>410</v>
      </c>
    </row>
    <row r="124" spans="2:4" x14ac:dyDescent="0.25">
      <c r="B124" s="1" t="s">
        <v>411</v>
      </c>
      <c r="D124" s="1" t="s">
        <v>412</v>
      </c>
    </row>
    <row r="125" spans="2:4" x14ac:dyDescent="0.25">
      <c r="B125" s="1" t="s">
        <v>413</v>
      </c>
      <c r="D125" s="1" t="s">
        <v>414</v>
      </c>
    </row>
    <row r="126" spans="2:4" x14ac:dyDescent="0.25">
      <c r="B126" s="1" t="s">
        <v>415</v>
      </c>
      <c r="D126" s="1" t="s">
        <v>416</v>
      </c>
    </row>
    <row r="127" spans="2:4" x14ac:dyDescent="0.25">
      <c r="B127" s="1" t="s">
        <v>417</v>
      </c>
      <c r="D127" s="1" t="s">
        <v>418</v>
      </c>
    </row>
    <row r="128" spans="2:4" x14ac:dyDescent="0.25">
      <c r="B128" s="1" t="s">
        <v>419</v>
      </c>
      <c r="D128" s="1" t="s">
        <v>420</v>
      </c>
    </row>
    <row r="129" spans="2:4" x14ac:dyDescent="0.25">
      <c r="B129" s="1" t="s">
        <v>421</v>
      </c>
      <c r="D129" s="1" t="s">
        <v>422</v>
      </c>
    </row>
    <row r="130" spans="2:4" x14ac:dyDescent="0.25">
      <c r="B130" s="1" t="s">
        <v>423</v>
      </c>
      <c r="D130" s="1" t="s">
        <v>424</v>
      </c>
    </row>
    <row r="131" spans="2:4" x14ac:dyDescent="0.25">
      <c r="B131" s="1" t="s">
        <v>425</v>
      </c>
      <c r="D131" s="1" t="s">
        <v>426</v>
      </c>
    </row>
    <row r="132" spans="2:4" x14ac:dyDescent="0.25">
      <c r="B132" s="1" t="s">
        <v>427</v>
      </c>
      <c r="D132" s="1" t="s">
        <v>428</v>
      </c>
    </row>
    <row r="133" spans="2:4" x14ac:dyDescent="0.25">
      <c r="B133" s="1" t="s">
        <v>429</v>
      </c>
      <c r="D133" s="1" t="s">
        <v>430</v>
      </c>
    </row>
    <row r="134" spans="2:4" x14ac:dyDescent="0.25">
      <c r="B134" s="1" t="s">
        <v>431</v>
      </c>
      <c r="D134" s="1" t="s">
        <v>432</v>
      </c>
    </row>
    <row r="135" spans="2:4" x14ac:dyDescent="0.25">
      <c r="B135" s="1" t="s">
        <v>433</v>
      </c>
      <c r="D135" s="1" t="s">
        <v>434</v>
      </c>
    </row>
    <row r="136" spans="2:4" x14ac:dyDescent="0.25">
      <c r="B136" s="1" t="s">
        <v>435</v>
      </c>
      <c r="D136" s="1" t="s">
        <v>436</v>
      </c>
    </row>
    <row r="137" spans="2:4" x14ac:dyDescent="0.25">
      <c r="B137" s="1" t="s">
        <v>437</v>
      </c>
      <c r="D137" s="1" t="s">
        <v>438</v>
      </c>
    </row>
    <row r="138" spans="2:4" x14ac:dyDescent="0.25">
      <c r="B138" s="1" t="s">
        <v>439</v>
      </c>
      <c r="D138" s="1" t="s">
        <v>440</v>
      </c>
    </row>
    <row r="139" spans="2:4" x14ac:dyDescent="0.25">
      <c r="B139" s="1" t="s">
        <v>441</v>
      </c>
      <c r="D139" s="1" t="s">
        <v>442</v>
      </c>
    </row>
    <row r="140" spans="2:4" x14ac:dyDescent="0.25">
      <c r="B140" s="1" t="s">
        <v>443</v>
      </c>
      <c r="D140" s="1" t="s">
        <v>444</v>
      </c>
    </row>
    <row r="141" spans="2:4" x14ac:dyDescent="0.25">
      <c r="B141" s="1" t="s">
        <v>445</v>
      </c>
      <c r="D141" s="1" t="s">
        <v>446</v>
      </c>
    </row>
    <row r="142" spans="2:4" x14ac:dyDescent="0.25">
      <c r="B142" s="1" t="s">
        <v>447</v>
      </c>
      <c r="D142" s="1" t="s">
        <v>448</v>
      </c>
    </row>
    <row r="143" spans="2:4" x14ac:dyDescent="0.25">
      <c r="B143" s="1" t="s">
        <v>449</v>
      </c>
      <c r="D143" s="1" t="s">
        <v>450</v>
      </c>
    </row>
    <row r="144" spans="2:4" x14ac:dyDescent="0.25">
      <c r="B144" s="1" t="s">
        <v>451</v>
      </c>
      <c r="D144" s="1" t="s">
        <v>452</v>
      </c>
    </row>
    <row r="145" spans="2:4" x14ac:dyDescent="0.25">
      <c r="B145" s="1" t="s">
        <v>453</v>
      </c>
      <c r="D145" s="1" t="s">
        <v>454</v>
      </c>
    </row>
    <row r="146" spans="2:4" x14ac:dyDescent="0.25">
      <c r="B146" s="1" t="s">
        <v>455</v>
      </c>
      <c r="D146" s="1" t="s">
        <v>456</v>
      </c>
    </row>
    <row r="147" spans="2:4" x14ac:dyDescent="0.25">
      <c r="B147" s="1" t="s">
        <v>457</v>
      </c>
      <c r="D147" s="1" t="s">
        <v>458</v>
      </c>
    </row>
    <row r="148" spans="2:4" x14ac:dyDescent="0.25">
      <c r="B148" s="1" t="s">
        <v>459</v>
      </c>
      <c r="D148" s="1" t="s">
        <v>460</v>
      </c>
    </row>
    <row r="149" spans="2:4" x14ac:dyDescent="0.25">
      <c r="B149" s="1" t="s">
        <v>246</v>
      </c>
      <c r="D149" s="1" t="s">
        <v>461</v>
      </c>
    </row>
    <row r="150" spans="2:4" x14ac:dyDescent="0.25">
      <c r="B150" s="1" t="s">
        <v>247</v>
      </c>
      <c r="D150" s="1" t="s">
        <v>462</v>
      </c>
    </row>
    <row r="151" spans="2:4" x14ac:dyDescent="0.25">
      <c r="B151" s="1" t="s">
        <v>249</v>
      </c>
      <c r="D151" s="1" t="s">
        <v>463</v>
      </c>
    </row>
    <row r="152" spans="2:4" x14ac:dyDescent="0.25">
      <c r="B152" s="1" t="s">
        <v>251</v>
      </c>
      <c r="D152" s="1" t="s">
        <v>464</v>
      </c>
    </row>
    <row r="153" spans="2:4" x14ac:dyDescent="0.25">
      <c r="B153" s="1" t="s">
        <v>252</v>
      </c>
      <c r="D153" s="1" t="s">
        <v>465</v>
      </c>
    </row>
    <row r="154" spans="2:4" x14ac:dyDescent="0.25">
      <c r="B154" s="1" t="s">
        <v>466</v>
      </c>
      <c r="D154" s="1" t="s">
        <v>467</v>
      </c>
    </row>
    <row r="155" spans="2:4" x14ac:dyDescent="0.25">
      <c r="B155" s="1" t="s">
        <v>468</v>
      </c>
      <c r="D155" s="1" t="s">
        <v>469</v>
      </c>
    </row>
    <row r="156" spans="2:4" x14ac:dyDescent="0.25">
      <c r="B156" s="1" t="s">
        <v>470</v>
      </c>
      <c r="D156" s="1" t="s">
        <v>471</v>
      </c>
    </row>
    <row r="157" spans="2:4" x14ac:dyDescent="0.25">
      <c r="B157" s="1" t="s">
        <v>472</v>
      </c>
      <c r="D157" s="1" t="s">
        <v>473</v>
      </c>
    </row>
    <row r="158" spans="2:4" x14ac:dyDescent="0.25">
      <c r="B158" s="1" t="s">
        <v>474</v>
      </c>
      <c r="D158" s="1" t="s">
        <v>475</v>
      </c>
    </row>
    <row r="159" spans="2:4" x14ac:dyDescent="0.25">
      <c r="B159" s="1" t="s">
        <v>476</v>
      </c>
      <c r="D159" s="1" t="s">
        <v>477</v>
      </c>
    </row>
    <row r="160" spans="2:4" x14ac:dyDescent="0.25">
      <c r="B160" s="1" t="s">
        <v>478</v>
      </c>
      <c r="D160" s="1" t="s">
        <v>479</v>
      </c>
    </row>
    <row r="161" spans="2:4" x14ac:dyDescent="0.25">
      <c r="B161" s="1" t="s">
        <v>480</v>
      </c>
      <c r="D161" s="1" t="s">
        <v>481</v>
      </c>
    </row>
    <row r="162" spans="2:4" x14ac:dyDescent="0.25">
      <c r="B162" s="1" t="s">
        <v>482</v>
      </c>
      <c r="D162" s="1" t="s">
        <v>483</v>
      </c>
    </row>
    <row r="163" spans="2:4" x14ac:dyDescent="0.25">
      <c r="B163" s="1" t="s">
        <v>484</v>
      </c>
      <c r="D163" s="1" t="s">
        <v>485</v>
      </c>
    </row>
    <row r="164" spans="2:4" x14ac:dyDescent="0.25">
      <c r="B164" s="1" t="s">
        <v>486</v>
      </c>
      <c r="D164" s="1" t="s">
        <v>487</v>
      </c>
    </row>
    <row r="165" spans="2:4" x14ac:dyDescent="0.25">
      <c r="B165" s="1" t="s">
        <v>488</v>
      </c>
      <c r="D165" s="1" t="s">
        <v>489</v>
      </c>
    </row>
    <row r="166" spans="2:4" x14ac:dyDescent="0.25">
      <c r="B166" s="1" t="s">
        <v>490</v>
      </c>
      <c r="D166" s="1" t="s">
        <v>491</v>
      </c>
    </row>
    <row r="167" spans="2:4" x14ac:dyDescent="0.25">
      <c r="B167" s="1" t="s">
        <v>492</v>
      </c>
      <c r="D167" s="1" t="s">
        <v>493</v>
      </c>
    </row>
    <row r="168" spans="2:4" x14ac:dyDescent="0.25">
      <c r="B168" s="1" t="s">
        <v>494</v>
      </c>
      <c r="D168" s="1" t="s">
        <v>495</v>
      </c>
    </row>
    <row r="169" spans="2:4" x14ac:dyDescent="0.25">
      <c r="B169" s="1" t="s">
        <v>496</v>
      </c>
      <c r="D169" s="1" t="s">
        <v>497</v>
      </c>
    </row>
    <row r="170" spans="2:4" x14ac:dyDescent="0.25">
      <c r="B170" s="1" t="s">
        <v>498</v>
      </c>
      <c r="D170" s="1" t="s">
        <v>499</v>
      </c>
    </row>
    <row r="171" spans="2:4" x14ac:dyDescent="0.25">
      <c r="B171" s="1" t="s">
        <v>500</v>
      </c>
      <c r="D171" s="1" t="s">
        <v>501</v>
      </c>
    </row>
    <row r="172" spans="2:4" x14ac:dyDescent="0.25">
      <c r="B172" s="1" t="s">
        <v>502</v>
      </c>
      <c r="D172" s="1" t="s">
        <v>503</v>
      </c>
    </row>
  </sheetData>
  <sheetProtection sheet="1" objects="1" scenarios="1"/>
  <hyperlinks>
    <hyperlink ref="Q2" location="Anleitung!A1" display="zurück zu &quot;Anleitung&quot;" xr:uid="{00000000-0004-0000-0D00-000000000000}"/>
    <hyperlink ref="B45" r:id="rId1" xr:uid="{00000000-0004-0000-0D00-000001000000}"/>
  </hyperlinks>
  <pageMargins left="0.25" right="0.25" top="0.75" bottom="0.75" header="0.3" footer="0.3"/>
  <pageSetup paperSize="9" scale="57"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I34"/>
  <sheetViews>
    <sheetView showGridLines="0" workbookViewId="0"/>
  </sheetViews>
  <sheetFormatPr baseColWidth="10" defaultColWidth="11.5546875" defaultRowHeight="11.4" x14ac:dyDescent="0.2"/>
  <cols>
    <col min="1" max="1" width="4.44140625" style="103" customWidth="1"/>
    <col min="2" max="2" width="22.88671875" style="103" customWidth="1"/>
    <col min="3" max="3" width="88.6640625" style="103" customWidth="1"/>
    <col min="4" max="16384" width="11.5546875" style="103"/>
  </cols>
  <sheetData>
    <row r="2" spans="2:5" ht="13.2" x14ac:dyDescent="0.25">
      <c r="B2" s="3" t="s">
        <v>504</v>
      </c>
      <c r="C2" s="144"/>
      <c r="E2" s="118" t="s">
        <v>28</v>
      </c>
    </row>
    <row r="4" spans="2:5" s="310" customFormat="1" x14ac:dyDescent="0.2">
      <c r="B4" s="310" t="s">
        <v>169</v>
      </c>
      <c r="C4" s="310" t="s">
        <v>505</v>
      </c>
    </row>
    <row r="5" spans="2:5" s="310" customFormat="1" x14ac:dyDescent="0.2">
      <c r="C5" s="311" t="s">
        <v>506</v>
      </c>
    </row>
    <row r="6" spans="2:5" s="310" customFormat="1" x14ac:dyDescent="0.2">
      <c r="B6" s="310" t="s">
        <v>166</v>
      </c>
      <c r="C6" s="310" t="s">
        <v>507</v>
      </c>
    </row>
    <row r="7" spans="2:5" s="310" customFormat="1" x14ac:dyDescent="0.2">
      <c r="C7" s="311" t="s">
        <v>508</v>
      </c>
    </row>
    <row r="8" spans="2:5" s="310" customFormat="1" x14ac:dyDescent="0.2">
      <c r="B8" s="310" t="s">
        <v>509</v>
      </c>
      <c r="C8" s="310" t="s">
        <v>510</v>
      </c>
    </row>
    <row r="9" spans="2:5" s="310" customFormat="1" x14ac:dyDescent="0.2">
      <c r="C9" s="311" t="s">
        <v>511</v>
      </c>
    </row>
    <row r="10" spans="2:5" s="310" customFormat="1" x14ac:dyDescent="0.2">
      <c r="B10" s="310" t="s">
        <v>162</v>
      </c>
      <c r="C10" s="304" t="s">
        <v>512</v>
      </c>
    </row>
    <row r="11" spans="2:5" s="310" customFormat="1" x14ac:dyDescent="0.2">
      <c r="C11" s="311" t="s">
        <v>513</v>
      </c>
    </row>
    <row r="12" spans="2:5" s="310" customFormat="1" ht="22.95" customHeight="1" x14ac:dyDescent="0.2">
      <c r="B12" s="312" t="s">
        <v>514</v>
      </c>
      <c r="C12" s="304" t="s">
        <v>515</v>
      </c>
    </row>
    <row r="13" spans="2:5" s="310" customFormat="1" x14ac:dyDescent="0.2">
      <c r="B13" s="304"/>
      <c r="C13" s="311" t="s">
        <v>516</v>
      </c>
    </row>
    <row r="14" spans="2:5" s="310" customFormat="1" ht="22.8" x14ac:dyDescent="0.2">
      <c r="B14" s="313" t="s">
        <v>180</v>
      </c>
      <c r="C14" s="310" t="s">
        <v>517</v>
      </c>
    </row>
    <row r="15" spans="2:5" s="310" customFormat="1" x14ac:dyDescent="0.2">
      <c r="C15" s="311" t="s">
        <v>518</v>
      </c>
    </row>
    <row r="16" spans="2:5" s="310" customFormat="1" x14ac:dyDescent="0.2">
      <c r="B16" s="313" t="s">
        <v>173</v>
      </c>
      <c r="C16" s="310" t="s">
        <v>519</v>
      </c>
    </row>
    <row r="17" spans="2:9" s="310" customFormat="1" ht="22.8" x14ac:dyDescent="0.2">
      <c r="C17" s="311" t="s">
        <v>520</v>
      </c>
    </row>
    <row r="18" spans="2:9" x14ac:dyDescent="0.2">
      <c r="B18" s="103" t="s">
        <v>521</v>
      </c>
      <c r="C18" s="330" t="s">
        <v>522</v>
      </c>
    </row>
    <row r="19" spans="2:9" ht="22.95" customHeight="1" x14ac:dyDescent="0.2">
      <c r="C19" s="303" t="s">
        <v>523</v>
      </c>
      <c r="D19" s="303"/>
      <c r="E19" s="303"/>
      <c r="F19" s="303"/>
      <c r="G19" s="303"/>
      <c r="H19" s="303"/>
      <c r="I19" s="303"/>
    </row>
    <row r="20" spans="2:9" s="310" customFormat="1" x14ac:dyDescent="0.2">
      <c r="B20" s="310" t="s">
        <v>164</v>
      </c>
      <c r="C20" s="310" t="s">
        <v>524</v>
      </c>
    </row>
    <row r="21" spans="2:9" s="310" customFormat="1" x14ac:dyDescent="0.2">
      <c r="C21" s="311" t="s">
        <v>525</v>
      </c>
    </row>
    <row r="22" spans="2:9" s="310" customFormat="1" x14ac:dyDescent="0.2">
      <c r="B22" s="310" t="s">
        <v>526</v>
      </c>
      <c r="C22" s="310" t="s">
        <v>527</v>
      </c>
    </row>
    <row r="23" spans="2:9" s="310" customFormat="1" x14ac:dyDescent="0.2">
      <c r="C23" s="311" t="s">
        <v>528</v>
      </c>
    </row>
    <row r="24" spans="2:9" s="310" customFormat="1" x14ac:dyDescent="0.2">
      <c r="B24" s="310" t="s">
        <v>529</v>
      </c>
      <c r="C24" s="310" t="s">
        <v>530</v>
      </c>
    </row>
    <row r="25" spans="2:9" s="310" customFormat="1" x14ac:dyDescent="0.2">
      <c r="C25" s="311" t="s">
        <v>531</v>
      </c>
    </row>
    <row r="26" spans="2:9" s="310" customFormat="1" x14ac:dyDescent="0.2">
      <c r="B26" s="310" t="s">
        <v>532</v>
      </c>
      <c r="C26" s="310" t="s">
        <v>533</v>
      </c>
    </row>
    <row r="27" spans="2:9" s="310" customFormat="1" x14ac:dyDescent="0.2">
      <c r="C27" s="311" t="s">
        <v>534</v>
      </c>
    </row>
    <row r="28" spans="2:9" s="310" customFormat="1" x14ac:dyDescent="0.2">
      <c r="B28" s="310" t="s">
        <v>535</v>
      </c>
      <c r="C28" s="310" t="s">
        <v>536</v>
      </c>
    </row>
    <row r="29" spans="2:9" s="310" customFormat="1" ht="22.95" customHeight="1" x14ac:dyDescent="0.2">
      <c r="C29" s="303" t="s">
        <v>537</v>
      </c>
    </row>
    <row r="30" spans="2:9" s="310" customFormat="1" x14ac:dyDescent="0.2"/>
    <row r="31" spans="2:9" s="310" customFormat="1" x14ac:dyDescent="0.2"/>
    <row r="32" spans="2:9" s="310" customFormat="1" x14ac:dyDescent="0.2"/>
    <row r="33" s="310" customFormat="1" x14ac:dyDescent="0.2"/>
    <row r="34" s="310" customFormat="1" x14ac:dyDescent="0.2"/>
  </sheetData>
  <sheetProtection sheet="1" objects="1" scenarios="1"/>
  <hyperlinks>
    <hyperlink ref="C27" r:id="rId1" xr:uid="{00000000-0004-0000-0E00-000001000000}"/>
    <hyperlink ref="C29" r:id="rId2" xr:uid="{00000000-0004-0000-0E00-000002000000}"/>
    <hyperlink ref="C9" r:id="rId3" xr:uid="{00000000-0004-0000-0E00-000003000000}"/>
    <hyperlink ref="C13" r:id="rId4" xr:uid="{00000000-0004-0000-0E00-000004000000}"/>
    <hyperlink ref="C11" r:id="rId5" xr:uid="{00000000-0004-0000-0E00-00000A000000}"/>
    <hyperlink ref="E2" location="Anleitung!A1" display="zurück zu &quot;Anleitung&quot;" xr:uid="{00000000-0004-0000-0E00-00000E000000}"/>
    <hyperlink ref="C5" r:id="rId6" xr:uid="{00000000-0004-0000-0E00-000008000000}"/>
    <hyperlink ref="C7" r:id="rId7" location="seit-2021" xr:uid="{00000000-0004-0000-0E00-000006000000}"/>
    <hyperlink ref="C27" r:id="rId8" display="https://www.transportenvironment.org/wp-content/uploads/2022/05/TE_LCA_Update-June.pdf" xr:uid="{00000000-0004-0000-0E00-00000D000000}"/>
    <hyperlink ref="C19" r:id="rId9" xr:uid="{BED7236F-CE1E-46EE-833A-AB32404E4527}"/>
    <hyperlink ref="C17" r:id="rId10" xr:uid="{9358B48D-96B7-4028-8449-E1D2AE260611}"/>
    <hyperlink ref="C23" r:id="rId11" xr:uid="{00000000-0004-0000-0E00-00000C000000}"/>
    <hyperlink ref="C21" r:id="rId12" xr:uid="{00000000-0004-0000-0E00-000007000000}"/>
    <hyperlink ref="C15" r:id="rId13" xr:uid="{00000000-0004-0000-0E00-000000000000}"/>
  </hyperlinks>
  <pageMargins left="0.25" right="0.25" top="0.75" bottom="0.75" header="0.3" footer="0.3"/>
  <pageSetup paperSize="9" orientation="portrait" r:id="rId14"/>
  <drawing r:id="rId1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sheetPr>
  <dimension ref="A2:N30"/>
  <sheetViews>
    <sheetView showGridLines="0" zoomScaleNormal="100" workbookViewId="0"/>
  </sheetViews>
  <sheetFormatPr baseColWidth="10" defaultColWidth="11.5546875" defaultRowHeight="13.8" x14ac:dyDescent="0.25"/>
  <cols>
    <col min="1" max="1" width="4.6640625" style="1" customWidth="1"/>
    <col min="2" max="2" width="43.44140625" style="1" customWidth="1"/>
    <col min="3" max="3" width="12.109375" style="1" customWidth="1"/>
    <col min="4" max="4" width="21.109375" style="1" customWidth="1"/>
    <col min="5" max="5" width="13.33203125" style="1" customWidth="1"/>
    <col min="6" max="6" width="15.5546875" style="1" customWidth="1"/>
    <col min="7" max="7" width="15.33203125" style="1" bestFit="1" customWidth="1"/>
    <col min="8" max="8" width="13.109375" style="1" customWidth="1"/>
    <col min="9" max="16384" width="11.5546875" style="1"/>
  </cols>
  <sheetData>
    <row r="2" spans="1:9" x14ac:dyDescent="0.25">
      <c r="B2" s="2" t="s">
        <v>27</v>
      </c>
      <c r="I2" s="118" t="s">
        <v>28</v>
      </c>
    </row>
    <row r="4" spans="1:9" x14ac:dyDescent="0.25">
      <c r="B4" s="3" t="s">
        <v>29</v>
      </c>
      <c r="C4" s="3"/>
      <c r="D4" s="3"/>
      <c r="E4" s="3"/>
      <c r="F4" s="3"/>
      <c r="G4" s="3"/>
      <c r="H4" s="3"/>
    </row>
    <row r="6" spans="1:9" x14ac:dyDescent="0.25">
      <c r="B6" s="1" t="s">
        <v>30</v>
      </c>
      <c r="C6" s="350" t="s">
        <v>31</v>
      </c>
      <c r="D6" s="351"/>
      <c r="E6" s="351"/>
      <c r="F6" s="351"/>
      <c r="G6" s="351"/>
      <c r="H6" s="352"/>
    </row>
    <row r="7" spans="1:9" x14ac:dyDescent="0.25">
      <c r="C7" s="353"/>
      <c r="D7" s="354"/>
      <c r="E7" s="354"/>
      <c r="F7" s="354"/>
      <c r="G7" s="354"/>
      <c r="H7" s="355"/>
    </row>
    <row r="8" spans="1:9" x14ac:dyDescent="0.25">
      <c r="C8" s="356"/>
      <c r="D8" s="357"/>
      <c r="E8" s="357"/>
      <c r="F8" s="357"/>
      <c r="G8" s="357"/>
      <c r="H8" s="358"/>
    </row>
    <row r="9" spans="1:9" x14ac:dyDescent="0.25">
      <c r="B9" s="7" t="s">
        <v>32</v>
      </c>
      <c r="C9" s="359" t="s">
        <v>33</v>
      </c>
      <c r="D9" s="360"/>
      <c r="E9" s="360"/>
      <c r="F9" s="360"/>
      <c r="G9" s="360"/>
      <c r="H9" s="361"/>
    </row>
    <row r="10" spans="1:9" x14ac:dyDescent="0.25">
      <c r="B10" s="1" t="s">
        <v>34</v>
      </c>
      <c r="C10" s="359" t="s">
        <v>35</v>
      </c>
      <c r="D10" s="360"/>
      <c r="E10" s="360"/>
      <c r="F10" s="360"/>
      <c r="G10" s="360"/>
      <c r="H10" s="361"/>
    </row>
    <row r="11" spans="1:9" x14ac:dyDescent="0.25">
      <c r="B11" s="1" t="s">
        <v>36</v>
      </c>
      <c r="C11" s="165">
        <v>45160</v>
      </c>
      <c r="D11" s="57"/>
      <c r="E11" s="57"/>
      <c r="F11" s="57"/>
      <c r="G11" s="57"/>
      <c r="H11" s="57"/>
    </row>
    <row r="12" spans="1:9" x14ac:dyDescent="0.25">
      <c r="C12" s="185"/>
      <c r="D12" s="57"/>
      <c r="E12" s="57"/>
      <c r="F12" s="57"/>
      <c r="G12" s="57"/>
      <c r="H12" s="57"/>
    </row>
    <row r="13" spans="1:9" ht="14.4" x14ac:dyDescent="0.25">
      <c r="A13" s="108" t="s">
        <v>17</v>
      </c>
      <c r="B13" s="1" t="s">
        <v>37</v>
      </c>
      <c r="C13" s="347" t="s">
        <v>38</v>
      </c>
      <c r="D13" s="348"/>
      <c r="E13" s="57"/>
      <c r="F13" s="57"/>
      <c r="G13" s="57"/>
      <c r="H13" s="57"/>
    </row>
    <row r="14" spans="1:9" x14ac:dyDescent="0.25">
      <c r="C14" s="57"/>
      <c r="D14" s="57"/>
      <c r="E14" s="57"/>
      <c r="F14" s="57"/>
      <c r="G14" s="57"/>
      <c r="H14" s="57"/>
    </row>
    <row r="15" spans="1:9" x14ac:dyDescent="0.25">
      <c r="B15" s="1" t="s">
        <v>39</v>
      </c>
      <c r="C15" s="167">
        <v>20000</v>
      </c>
      <c r="D15" s="57" t="s">
        <v>40</v>
      </c>
      <c r="E15" s="57"/>
      <c r="F15" s="57"/>
      <c r="G15" s="57"/>
      <c r="H15" s="57"/>
    </row>
    <row r="16" spans="1:9" x14ac:dyDescent="0.25">
      <c r="C16" s="57"/>
      <c r="D16" s="57"/>
      <c r="E16" s="57"/>
      <c r="F16" s="57"/>
      <c r="G16" s="57"/>
      <c r="H16" s="57"/>
    </row>
    <row r="17" spans="1:14" x14ac:dyDescent="0.25">
      <c r="B17" s="1" t="s">
        <v>41</v>
      </c>
      <c r="C17" s="168" t="s">
        <v>42</v>
      </c>
      <c r="D17" s="57"/>
      <c r="E17" s="57"/>
      <c r="F17" s="57"/>
      <c r="G17" s="57"/>
      <c r="H17" s="57"/>
    </row>
    <row r="18" spans="1:14" x14ac:dyDescent="0.25">
      <c r="C18" s="57"/>
      <c r="D18" s="57"/>
      <c r="E18" s="57"/>
      <c r="F18" s="57"/>
      <c r="G18" s="57"/>
      <c r="H18" s="57"/>
    </row>
    <row r="19" spans="1:14" x14ac:dyDescent="0.25">
      <c r="B19" s="7" t="s">
        <v>43</v>
      </c>
      <c r="C19" s="166">
        <v>7</v>
      </c>
      <c r="D19" s="57" t="s">
        <v>44</v>
      </c>
      <c r="E19" s="57"/>
      <c r="F19" s="57"/>
      <c r="G19" s="57"/>
      <c r="H19" s="57"/>
    </row>
    <row r="21" spans="1:14" ht="14.4" x14ac:dyDescent="0.25">
      <c r="A21" s="108" t="s">
        <v>17</v>
      </c>
      <c r="B21" s="349" t="s">
        <v>45</v>
      </c>
      <c r="C21" s="346" t="s">
        <v>46</v>
      </c>
      <c r="D21" s="346"/>
    </row>
    <row r="22" spans="1:14" x14ac:dyDescent="0.25">
      <c r="B22" s="349"/>
    </row>
    <row r="23" spans="1:14" x14ac:dyDescent="0.25">
      <c r="B23" s="192"/>
    </row>
    <row r="24" spans="1:14" ht="16.2" x14ac:dyDescent="0.35">
      <c r="A24" s="108" t="s">
        <v>17</v>
      </c>
      <c r="B24" s="192" t="s">
        <v>47</v>
      </c>
      <c r="C24" s="168" t="s">
        <v>48</v>
      </c>
      <c r="D24" s="1" t="s">
        <v>49</v>
      </c>
      <c r="E24" s="1" t="s">
        <v>50</v>
      </c>
      <c r="F24" s="309">
        <f>Grunddaten!E35</f>
        <v>0</v>
      </c>
      <c r="G24" s="1" t="s">
        <v>49</v>
      </c>
    </row>
    <row r="26" spans="1:14" x14ac:dyDescent="0.25">
      <c r="B26" s="3" t="s">
        <v>51</v>
      </c>
      <c r="C26" s="4"/>
      <c r="D26" s="4"/>
      <c r="E26" s="4"/>
      <c r="F26" s="3"/>
      <c r="G26" s="3"/>
      <c r="H26" s="3"/>
    </row>
    <row r="27" spans="1:14" x14ac:dyDescent="0.25">
      <c r="C27" s="10"/>
      <c r="D27" s="10"/>
      <c r="F27" s="10"/>
      <c r="G27" s="10"/>
      <c r="H27" s="11"/>
      <c r="I27" s="8"/>
      <c r="J27" s="8"/>
      <c r="K27" s="8"/>
      <c r="L27" s="8"/>
      <c r="M27" s="7"/>
      <c r="N27" s="7"/>
    </row>
    <row r="28" spans="1:14" x14ac:dyDescent="0.25">
      <c r="B28" s="186" t="s">
        <v>52</v>
      </c>
      <c r="C28" s="10"/>
      <c r="D28" s="13" t="s">
        <v>53</v>
      </c>
      <c r="F28" s="10"/>
      <c r="G28" s="10"/>
      <c r="I28" s="7"/>
      <c r="J28" s="161" t="s">
        <v>54</v>
      </c>
      <c r="K28" s="8"/>
      <c r="L28" s="8"/>
      <c r="M28" s="7"/>
      <c r="N28" s="7"/>
    </row>
    <row r="29" spans="1:14" ht="14.4" x14ac:dyDescent="0.25">
      <c r="A29" s="108" t="s">
        <v>17</v>
      </c>
      <c r="B29" s="1" t="s">
        <v>55</v>
      </c>
      <c r="C29" s="187">
        <v>50</v>
      </c>
      <c r="D29" s="273"/>
      <c r="E29" s="9" t="s">
        <v>56</v>
      </c>
      <c r="F29" s="188"/>
      <c r="G29" s="189"/>
      <c r="I29" s="7"/>
      <c r="J29" s="161">
        <f>IF(ISNUMBER(D29),D29,C29)</f>
        <v>50</v>
      </c>
      <c r="K29" s="8"/>
      <c r="L29" s="8"/>
      <c r="M29" s="7"/>
      <c r="N29" s="7"/>
    </row>
    <row r="30" spans="1:14" x14ac:dyDescent="0.25">
      <c r="B30" s="1" t="s">
        <v>57</v>
      </c>
      <c r="C30" s="10">
        <f>100-J29</f>
        <v>50</v>
      </c>
      <c r="D30" s="10"/>
      <c r="F30" s="10"/>
      <c r="G30" s="10"/>
      <c r="I30" s="7"/>
      <c r="J30" s="7"/>
      <c r="K30" s="7"/>
      <c r="L30" s="7"/>
      <c r="M30" s="7"/>
      <c r="N30" s="7"/>
    </row>
  </sheetData>
  <sheetProtection sheet="1" objects="1" scenarios="1"/>
  <mergeCells count="6">
    <mergeCell ref="C21:D21"/>
    <mergeCell ref="C13:D13"/>
    <mergeCell ref="B21:B22"/>
    <mergeCell ref="C6:H8"/>
    <mergeCell ref="C9:H9"/>
    <mergeCell ref="C10:H10"/>
  </mergeCells>
  <conditionalFormatting sqref="A22:A23 B21:D21 C22:D23 D24">
    <cfRule type="expression" dxfId="92" priority="5">
      <formula>$C$17&lt;&gt;"Kauf"</formula>
    </cfRule>
  </conditionalFormatting>
  <conditionalFormatting sqref="A21">
    <cfRule type="expression" dxfId="91" priority="4">
      <formula>$C$17&lt;&gt;"Kauf"</formula>
    </cfRule>
  </conditionalFormatting>
  <conditionalFormatting sqref="G24">
    <cfRule type="expression" dxfId="90" priority="3">
      <formula>$C$17&lt;&gt;"Kauf"</formula>
    </cfRule>
  </conditionalFormatting>
  <dataValidations count="3">
    <dataValidation type="list" allowBlank="1" showInputMessage="1" showErrorMessage="1" sqref="C21:D21" xr:uid="{00000000-0002-0000-0100-000000000000}">
      <formula1>KaufpreisRechList</formula1>
    </dataValidation>
    <dataValidation type="list" allowBlank="1" showInputMessage="1" showErrorMessage="1" sqref="C13" xr:uid="{00000000-0002-0000-0100-000001000000}">
      <formula1>SegmentList</formula1>
    </dataValidation>
    <dataValidation type="list" allowBlank="1" showInputMessage="1" showErrorMessage="1" sqref="C24" xr:uid="{00000000-0002-0000-0100-000002000000}">
      <formula1>KostTHGList</formula1>
    </dataValidation>
  </dataValidations>
  <hyperlinks>
    <hyperlink ref="I2" location="Anleitung!A1" display="zurück zu &quot;Anleitung&quot;" xr:uid="{00000000-0004-0000-0100-000000000000}"/>
  </hyperlinks>
  <pageMargins left="0.7" right="0.7" top="0.78740157499999996" bottom="0.78740157499999996"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57ADD3A-3CB2-4BEF-8244-0075E3EE693F}">
            <xm:f>ISBLANK(Grunddaten!$E$35)</xm:f>
            <x14:dxf>
              <font>
                <color theme="0"/>
              </font>
              <fill>
                <patternFill>
                  <bgColor theme="0"/>
                </patternFill>
              </fill>
            </x14:dxf>
          </x14:cfRule>
          <xm:sqref>E24:G24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Listen!$B$3:$B$5</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1:R28"/>
  <sheetViews>
    <sheetView showGridLines="0" tabSelected="1" zoomScaleNormal="100" workbookViewId="0"/>
  </sheetViews>
  <sheetFormatPr baseColWidth="10" defaultColWidth="11.5546875" defaultRowHeight="13.8" x14ac:dyDescent="0.25"/>
  <cols>
    <col min="1" max="1" width="2.109375" style="1" customWidth="1"/>
    <col min="2" max="2" width="5.109375" style="1" customWidth="1"/>
    <col min="3" max="3" width="28.6640625" style="1" customWidth="1"/>
    <col min="4" max="4" width="13.6640625" style="1" customWidth="1"/>
    <col min="5" max="9" width="14.33203125" style="1" customWidth="1"/>
    <col min="10" max="10" width="3.33203125" style="1" customWidth="1"/>
    <col min="11" max="11" width="7.109375" style="7" customWidth="1"/>
    <col min="12" max="13" width="11.5546875" style="7"/>
    <col min="14" max="14" width="9.44140625" style="7" customWidth="1"/>
    <col min="15" max="15" width="16.44140625" style="1" customWidth="1"/>
    <col min="16" max="16384" width="11.5546875" style="1"/>
  </cols>
  <sheetData>
    <row r="1" spans="2:18" x14ac:dyDescent="0.25">
      <c r="J1" s="7"/>
      <c r="O1" s="7"/>
      <c r="P1" s="7"/>
      <c r="Q1" s="7"/>
      <c r="R1" s="7"/>
    </row>
    <row r="2" spans="2:18" x14ac:dyDescent="0.25">
      <c r="C2" s="2" t="s">
        <v>58</v>
      </c>
      <c r="D2" s="2"/>
      <c r="J2" s="7"/>
      <c r="K2" s="118" t="s">
        <v>28</v>
      </c>
      <c r="O2" s="7"/>
      <c r="P2" s="7"/>
      <c r="Q2" s="7"/>
      <c r="R2" s="7"/>
    </row>
    <row r="3" spans="2:18" x14ac:dyDescent="0.25">
      <c r="J3" s="7"/>
      <c r="O3" s="7"/>
      <c r="P3" s="7"/>
      <c r="Q3" s="7"/>
      <c r="R3" s="7"/>
    </row>
    <row r="4" spans="2:18" x14ac:dyDescent="0.25">
      <c r="C4" s="170" t="s">
        <v>59</v>
      </c>
      <c r="D4" s="171"/>
      <c r="E4" s="171"/>
      <c r="F4" s="171"/>
      <c r="G4" s="171"/>
      <c r="H4" s="171"/>
      <c r="I4" s="172"/>
      <c r="J4" s="173"/>
      <c r="O4" s="7"/>
      <c r="P4" s="7"/>
      <c r="Q4" s="7"/>
      <c r="R4" s="7"/>
    </row>
    <row r="5" spans="2:18" x14ac:dyDescent="0.25">
      <c r="C5" s="174"/>
      <c r="D5" s="174"/>
      <c r="E5" s="175"/>
      <c r="F5" s="175"/>
      <c r="G5" s="175"/>
      <c r="H5" s="175"/>
      <c r="I5" s="175"/>
      <c r="J5" s="173"/>
      <c r="O5" s="7"/>
      <c r="P5" s="7"/>
      <c r="Q5" s="7"/>
      <c r="R5" s="7"/>
    </row>
    <row r="6" spans="2:18" x14ac:dyDescent="0.25">
      <c r="C6" s="99" t="s">
        <v>60</v>
      </c>
      <c r="D6" s="99"/>
      <c r="E6" s="176">
        <v>1</v>
      </c>
      <c r="F6" s="176">
        <v>2</v>
      </c>
      <c r="G6" s="176">
        <v>3</v>
      </c>
      <c r="H6" s="176">
        <v>4</v>
      </c>
      <c r="I6" s="176">
        <v>5</v>
      </c>
      <c r="J6" s="7"/>
      <c r="O6" s="7"/>
      <c r="P6" s="7"/>
      <c r="Q6" s="7"/>
      <c r="R6" s="7"/>
    </row>
    <row r="7" spans="2:18" s="102" customFormat="1" ht="27.6" customHeight="1" x14ac:dyDescent="0.3">
      <c r="C7" s="177" t="s">
        <v>61</v>
      </c>
      <c r="D7" s="177"/>
      <c r="E7" s="154" t="s">
        <v>62</v>
      </c>
      <c r="F7" s="154" t="s">
        <v>63</v>
      </c>
      <c r="G7" s="154" t="s">
        <v>63</v>
      </c>
      <c r="H7" s="154" t="s">
        <v>64</v>
      </c>
      <c r="I7" s="154" t="s">
        <v>64</v>
      </c>
      <c r="J7" s="178"/>
      <c r="K7" s="179"/>
      <c r="L7" s="179"/>
      <c r="M7" s="179"/>
      <c r="N7" s="179"/>
      <c r="O7" s="179"/>
      <c r="P7" s="179"/>
      <c r="Q7" s="179"/>
      <c r="R7" s="179"/>
    </row>
    <row r="8" spans="2:18" s="102" customFormat="1" x14ac:dyDescent="0.3">
      <c r="C8" s="177" t="s">
        <v>65</v>
      </c>
      <c r="D8" s="177"/>
      <c r="E8" s="154" t="s">
        <v>66</v>
      </c>
      <c r="F8" s="154" t="s">
        <v>67</v>
      </c>
      <c r="G8" s="154" t="s">
        <v>67</v>
      </c>
      <c r="H8" s="154" t="s">
        <v>68</v>
      </c>
      <c r="I8" s="154" t="s">
        <v>68</v>
      </c>
      <c r="J8" s="178"/>
      <c r="K8" s="266"/>
      <c r="L8" s="266" t="str">
        <f>IF(J22&gt;0,"FEHLER - bitte treffenden Energieträger wählen","")</f>
        <v/>
      </c>
      <c r="M8" s="266"/>
      <c r="N8" s="266"/>
      <c r="O8" s="257"/>
      <c r="P8" s="179"/>
      <c r="Q8" s="179"/>
      <c r="R8" s="179"/>
    </row>
    <row r="9" spans="2:18" s="102" customFormat="1" x14ac:dyDescent="0.3">
      <c r="C9" s="177" t="s">
        <v>69</v>
      </c>
      <c r="D9" s="177"/>
      <c r="E9" s="155" t="s">
        <v>70</v>
      </c>
      <c r="F9" s="155" t="s">
        <v>71</v>
      </c>
      <c r="G9" s="155" t="s">
        <v>72</v>
      </c>
      <c r="H9" s="155" t="s">
        <v>73</v>
      </c>
      <c r="I9" s="155" t="s">
        <v>74</v>
      </c>
      <c r="J9" s="269"/>
      <c r="K9" s="267"/>
      <c r="L9" s="270"/>
      <c r="M9" s="270"/>
      <c r="N9" s="267"/>
      <c r="O9" s="179"/>
      <c r="P9" s="179"/>
      <c r="Q9" s="179"/>
      <c r="R9" s="179"/>
    </row>
    <row r="10" spans="2:18" s="102" customFormat="1" x14ac:dyDescent="0.3">
      <c r="C10" s="177" t="s">
        <v>75</v>
      </c>
      <c r="D10" s="177"/>
      <c r="E10" s="155" t="s">
        <v>76</v>
      </c>
      <c r="F10" s="155" t="s">
        <v>76</v>
      </c>
      <c r="G10" s="155" t="s">
        <v>77</v>
      </c>
      <c r="H10" s="155" t="s">
        <v>78</v>
      </c>
      <c r="I10" s="155" t="s">
        <v>79</v>
      </c>
      <c r="J10" s="269"/>
      <c r="K10" s="267"/>
      <c r="L10" s="373" t="s">
        <v>80</v>
      </c>
      <c r="M10" s="373"/>
      <c r="N10" s="267"/>
      <c r="O10" s="179"/>
      <c r="P10" s="179"/>
      <c r="Q10" s="179"/>
      <c r="R10" s="179"/>
    </row>
    <row r="11" spans="2:18" s="102" customFormat="1" ht="27.6" x14ac:dyDescent="0.3">
      <c r="C11" s="177" t="s">
        <v>81</v>
      </c>
      <c r="D11" s="177"/>
      <c r="E11" s="156" t="s">
        <v>82</v>
      </c>
      <c r="F11" s="156" t="s">
        <v>83</v>
      </c>
      <c r="G11" s="156" t="s">
        <v>84</v>
      </c>
      <c r="H11" s="156" t="s">
        <v>85</v>
      </c>
      <c r="I11" s="156" t="s">
        <v>86</v>
      </c>
      <c r="J11" s="269"/>
      <c r="K11" s="375" t="s">
        <v>87</v>
      </c>
      <c r="L11" s="375"/>
      <c r="M11" s="375"/>
      <c r="N11" s="375"/>
      <c r="O11" s="179"/>
      <c r="P11" s="179"/>
      <c r="Q11" s="179"/>
      <c r="R11" s="179"/>
    </row>
    <row r="12" spans="2:18" s="102" customFormat="1" ht="55.95" customHeight="1" x14ac:dyDescent="0.25">
      <c r="C12" s="180" t="s">
        <v>88</v>
      </c>
      <c r="D12" s="99"/>
      <c r="E12" s="156" t="s">
        <v>89</v>
      </c>
      <c r="F12" s="156" t="s">
        <v>90</v>
      </c>
      <c r="G12" s="156" t="s">
        <v>91</v>
      </c>
      <c r="H12" s="156" t="s">
        <v>92</v>
      </c>
      <c r="I12" s="156" t="s">
        <v>93</v>
      </c>
      <c r="J12" s="179"/>
      <c r="K12" s="374" t="s">
        <v>94</v>
      </c>
      <c r="L12" s="374"/>
      <c r="M12" s="374"/>
      <c r="N12" s="374"/>
      <c r="O12" s="179"/>
      <c r="P12" s="179"/>
      <c r="Q12" s="179"/>
      <c r="R12" s="179"/>
    </row>
    <row r="13" spans="2:18" s="102" customFormat="1" ht="14.4" x14ac:dyDescent="0.3">
      <c r="C13" s="177" t="str">
        <f>IF(ISBLANK(FinArt), "Art der Beschaffung wählen in:", VLOOKUP(FinArt,FinArtList,3,FALSE))</f>
        <v>Fahrzeuggesamtpreis (brutto)</v>
      </c>
      <c r="D13" s="314" t="str">
        <f>IF(ISBLANK(FinArt), "Input_Projekt", VLOOKUP(FinArt,FinArtList,2,FALSE))</f>
        <v>EUR</v>
      </c>
      <c r="E13" s="157">
        <v>38060</v>
      </c>
      <c r="F13" s="157">
        <v>31300</v>
      </c>
      <c r="G13" s="157">
        <v>31850</v>
      </c>
      <c r="H13" s="157">
        <v>36690</v>
      </c>
      <c r="I13" s="157">
        <v>38000</v>
      </c>
      <c r="J13" s="179"/>
      <c r="K13" s="267"/>
      <c r="L13" s="270"/>
      <c r="M13" s="270"/>
      <c r="N13" s="268"/>
      <c r="O13" s="182"/>
      <c r="P13" s="182"/>
      <c r="Q13" s="179"/>
      <c r="R13" s="179"/>
    </row>
    <row r="14" spans="2:18" s="102" customFormat="1" x14ac:dyDescent="0.3">
      <c r="C14" s="177" t="s">
        <v>95</v>
      </c>
      <c r="D14" s="297" t="s">
        <v>96</v>
      </c>
      <c r="E14" s="157"/>
      <c r="F14" s="157"/>
      <c r="G14" s="157"/>
      <c r="H14" s="157"/>
      <c r="I14" s="157"/>
      <c r="J14" s="298" t="s">
        <v>97</v>
      </c>
      <c r="K14" s="267"/>
      <c r="L14" s="267"/>
      <c r="M14" s="267"/>
      <c r="N14" s="267"/>
      <c r="O14" s="179"/>
      <c r="P14" s="179"/>
      <c r="Q14" s="179"/>
      <c r="R14" s="179"/>
    </row>
    <row r="15" spans="2:18" s="102" customFormat="1" ht="16.95" customHeight="1" x14ac:dyDescent="0.3">
      <c r="B15" s="372" t="s">
        <v>98</v>
      </c>
      <c r="C15" s="370" t="s">
        <v>99</v>
      </c>
      <c r="D15" s="183" t="s">
        <v>100</v>
      </c>
      <c r="E15" s="287"/>
      <c r="F15" s="287">
        <v>4.5</v>
      </c>
      <c r="G15" s="287">
        <v>4.3</v>
      </c>
      <c r="H15" s="287">
        <v>1.3</v>
      </c>
      <c r="I15" s="287">
        <v>1.2</v>
      </c>
      <c r="J15" s="179"/>
      <c r="K15" s="267"/>
      <c r="L15" s="267"/>
      <c r="M15" s="268"/>
      <c r="N15" s="267"/>
      <c r="P15" s="182"/>
      <c r="Q15" s="182"/>
      <c r="R15" s="179"/>
    </row>
    <row r="16" spans="2:18" s="102" customFormat="1" ht="16.95" customHeight="1" x14ac:dyDescent="0.3">
      <c r="B16" s="372"/>
      <c r="C16" s="371"/>
      <c r="D16" s="181" t="s">
        <v>101</v>
      </c>
      <c r="E16" s="289">
        <v>15.2</v>
      </c>
      <c r="F16" s="290"/>
      <c r="G16" s="290"/>
      <c r="H16" s="290">
        <v>10.5</v>
      </c>
      <c r="I16" s="291">
        <v>13</v>
      </c>
      <c r="J16" s="179"/>
      <c r="K16" s="267"/>
      <c r="L16" s="267"/>
      <c r="M16" s="268"/>
      <c r="N16" s="267"/>
      <c r="O16" s="179"/>
      <c r="P16" s="179"/>
      <c r="Q16" s="179"/>
      <c r="R16" s="179"/>
    </row>
    <row r="17" spans="2:18" s="102" customFormat="1" ht="16.95" customHeight="1" x14ac:dyDescent="0.3">
      <c r="B17" s="372"/>
      <c r="C17" s="177" t="s">
        <v>102</v>
      </c>
      <c r="D17" s="181" t="s">
        <v>103</v>
      </c>
      <c r="E17" s="292"/>
      <c r="F17" s="155">
        <v>117</v>
      </c>
      <c r="G17" s="155">
        <v>113</v>
      </c>
      <c r="H17" s="155">
        <v>29</v>
      </c>
      <c r="I17" s="293">
        <v>28</v>
      </c>
      <c r="J17" s="179"/>
      <c r="K17" s="179"/>
      <c r="L17" s="182"/>
      <c r="M17" s="179"/>
      <c r="N17" s="179"/>
      <c r="O17" s="179"/>
      <c r="P17" s="179"/>
      <c r="Q17" s="179"/>
      <c r="R17" s="179"/>
    </row>
    <row r="18" spans="2:18" s="102" customFormat="1" ht="16.95" customHeight="1" x14ac:dyDescent="0.3">
      <c r="B18" s="372"/>
      <c r="C18" s="177" t="s">
        <v>104</v>
      </c>
      <c r="D18" s="181" t="s">
        <v>105</v>
      </c>
      <c r="E18" s="292"/>
      <c r="F18" s="155">
        <v>37.6</v>
      </c>
      <c r="G18" s="155">
        <v>53.8</v>
      </c>
      <c r="H18" s="155">
        <v>13.1</v>
      </c>
      <c r="I18" s="293">
        <v>3.1</v>
      </c>
      <c r="J18" s="179"/>
      <c r="K18" s="266"/>
      <c r="L18" s="266" t="str">
        <f>IF(SUM(J22:J23)&gt;0,"FEHLER: Bitte alle Werte füllen","")</f>
        <v/>
      </c>
      <c r="M18" s="271"/>
      <c r="N18" s="271"/>
      <c r="O18" s="257"/>
      <c r="P18" s="179"/>
      <c r="Q18" s="179"/>
      <c r="R18" s="179"/>
    </row>
    <row r="19" spans="2:18" s="102" customFormat="1" ht="16.95" customHeight="1" x14ac:dyDescent="0.3">
      <c r="B19" s="372"/>
      <c r="C19" s="177" t="s">
        <v>106</v>
      </c>
      <c r="D19" s="181" t="s">
        <v>105</v>
      </c>
      <c r="E19" s="292"/>
      <c r="F19" s="155">
        <v>0.2</v>
      </c>
      <c r="G19" s="155">
        <v>0.21</v>
      </c>
      <c r="H19" s="155">
        <v>0.65</v>
      </c>
      <c r="I19" s="293">
        <v>1</v>
      </c>
      <c r="J19" s="179"/>
      <c r="K19" s="179"/>
      <c r="L19" s="182"/>
      <c r="M19" s="179"/>
      <c r="N19" s="179"/>
      <c r="O19" s="179"/>
      <c r="P19" s="179"/>
      <c r="Q19" s="179"/>
      <c r="R19" s="179"/>
    </row>
    <row r="20" spans="2:18" s="102" customFormat="1" ht="16.95" customHeight="1" x14ac:dyDescent="0.3">
      <c r="B20" s="372"/>
      <c r="C20" s="177" t="s">
        <v>107</v>
      </c>
      <c r="D20" s="181" t="s">
        <v>108</v>
      </c>
      <c r="E20" s="294"/>
      <c r="F20" s="295"/>
      <c r="G20" s="295"/>
      <c r="H20" s="295">
        <v>60</v>
      </c>
      <c r="I20" s="296">
        <v>51</v>
      </c>
      <c r="J20" s="198"/>
      <c r="K20" s="179"/>
      <c r="L20" s="182"/>
      <c r="M20" s="179"/>
      <c r="N20" s="179"/>
      <c r="O20" s="179"/>
      <c r="P20" s="179"/>
      <c r="Q20" s="179"/>
      <c r="R20" s="179"/>
    </row>
    <row r="21" spans="2:18" s="102" customFormat="1" x14ac:dyDescent="0.3">
      <c r="C21" s="177" t="s">
        <v>109</v>
      </c>
      <c r="D21" s="184" t="s">
        <v>110</v>
      </c>
      <c r="E21" s="288">
        <v>62</v>
      </c>
      <c r="F21" s="288"/>
      <c r="G21" s="288"/>
      <c r="H21" s="288">
        <v>12</v>
      </c>
      <c r="I21" s="288">
        <v>9.8000000000000007</v>
      </c>
      <c r="J21" s="179"/>
      <c r="K21" s="179"/>
      <c r="L21" s="179"/>
      <c r="M21" s="179"/>
      <c r="N21" s="179"/>
      <c r="O21" s="179"/>
      <c r="P21" s="179"/>
      <c r="Q21" s="179"/>
      <c r="R21" s="179"/>
    </row>
    <row r="22" spans="2:18" x14ac:dyDescent="0.25">
      <c r="D22" s="258" t="s">
        <v>111</v>
      </c>
      <c r="E22" s="261">
        <f>IF(AND(OR(Energie1="nicht verfügbar",COUNTIF(EnList1,Energie1)&lt;&gt;1),Antriebsart1&lt;&gt;0),1,0)</f>
        <v>0</v>
      </c>
      <c r="F22" s="261">
        <f>IF(AND(OR(Energie2="nicht verfügbar",COUNTIF(EnList2,Energie2)&lt;&gt;1),Antriebsart2&lt;&gt;0),1,0)</f>
        <v>0</v>
      </c>
      <c r="G22" s="261">
        <f>IF(AND(OR(Energie3="nicht verfügbar",COUNTIF(EnList3,Energie3)&lt;&gt;1),Antriebsart3&lt;&gt;0),1,0)</f>
        <v>0</v>
      </c>
      <c r="H22" s="261">
        <f>IF(AND(OR(Energie4="nicht verfügbar",COUNTIF(EnList4,Energie4)&lt;&gt;1),Antriebsart4&lt;&gt;0),1,0)</f>
        <v>0</v>
      </c>
      <c r="I22" s="261">
        <f>IF(AND(OR(Energie5="nicht verfügbar",COUNTIF(EnList5,Energie5)&lt;&gt;1),Antriebsart5&lt;&gt;0),1,0)</f>
        <v>0</v>
      </c>
      <c r="J22" s="161">
        <f>SUM(E22:I22)</f>
        <v>0</v>
      </c>
      <c r="O22" s="7"/>
      <c r="P22" s="7"/>
      <c r="Q22" s="7"/>
      <c r="R22" s="7"/>
    </row>
    <row r="23" spans="2:18" x14ac:dyDescent="0.25">
      <c r="D23" s="258" t="s">
        <v>112</v>
      </c>
      <c r="E23" s="261">
        <f>IF(OR(AND(COUNT(E15:E21)&lt;7,Antriebsart1="Plug-In-Hybrid (PHEV)"),AND(COUNT(E16,E21)&lt;2,Antriebsart1="Vollelektrisch (BEV)"),AND(COUNT(E15,E17:E19)&lt;4,Antriebsart1="Verbrenner")),1,0)</f>
        <v>0</v>
      </c>
      <c r="F23" s="261">
        <f>IF(OR(AND(COUNT(F15:F21)&lt;7,Antriebsart2="Plug-In-Hybrid (PHEV)"),AND(COUNT(F16,F21)&lt;2,Antriebsart2="Vollelektrisch (BEV)"),AND(COUNT(F15,F17:F19)&lt;4,Antriebsart2="Verbrenner")),1,0)</f>
        <v>0</v>
      </c>
      <c r="G23" s="261">
        <f>IF(OR(AND(COUNT(G15:G21)&lt;7,Antriebsart3="Plug-In-Hybrid (PHEV)"),AND(COUNT(G16,G21)&lt;2,Antriebsart3="Vollelektrisch (BEV)"),AND(COUNT(G15,G17:G19)&lt;4,Antriebsart3="Verbrenner")),1,0)</f>
        <v>0</v>
      </c>
      <c r="H23" s="261">
        <f>IF(OR(AND(COUNT(H15:H21)&lt;7,Antriebsart4="Plug-In-Hybrid (PHEV)"),AND(COUNT(H16,H21)&lt;2,Antriebsart4="Vollelektrisch (BEV)"),AND(COUNT(H15,H17:H19)&lt;4,Antriebsart4="Verbrenner")),1,0)</f>
        <v>0</v>
      </c>
      <c r="I23" s="261">
        <f>IF(OR(AND(COUNT(I15:I21)&lt;7,Antriebsart5="Plug-In-Hybrid (PHEV)"),AND(COUNT(I16,I21)&lt;2,Antriebsart5="Vollelektrisch (BEV)"),AND(COUNT(I15,I17:I19)&lt;4,Antriebsart5="Verbrenner")),1,0)</f>
        <v>0</v>
      </c>
      <c r="J23" s="161">
        <f>SUM(E23:I23)</f>
        <v>0</v>
      </c>
      <c r="O23" s="7"/>
      <c r="P23" s="7"/>
      <c r="Q23" s="7"/>
      <c r="R23" s="7"/>
    </row>
    <row r="24" spans="2:18" ht="41.4" customHeight="1" x14ac:dyDescent="0.25">
      <c r="E24" s="367" t="s">
        <v>113</v>
      </c>
      <c r="F24" s="368"/>
      <c r="G24" s="368"/>
      <c r="H24" s="368"/>
      <c r="I24" s="369"/>
    </row>
    <row r="25" spans="2:18" ht="13.2" customHeight="1" x14ac:dyDescent="0.25">
      <c r="E25" s="362" t="s">
        <v>114</v>
      </c>
      <c r="F25" s="349"/>
      <c r="G25" s="349"/>
      <c r="H25" s="349"/>
      <c r="I25" s="363"/>
    </row>
    <row r="26" spans="2:18" x14ac:dyDescent="0.25">
      <c r="E26" s="364"/>
      <c r="F26" s="365"/>
      <c r="G26" s="365"/>
      <c r="H26" s="365"/>
      <c r="I26" s="366"/>
    </row>
    <row r="28" spans="2:18" x14ac:dyDescent="0.25">
      <c r="C28" s="1" t="s">
        <v>115</v>
      </c>
    </row>
  </sheetData>
  <sheetProtection sheet="1" objects="1" scenarios="1"/>
  <mergeCells count="7">
    <mergeCell ref="E25:I26"/>
    <mergeCell ref="E24:I24"/>
    <mergeCell ref="C15:C16"/>
    <mergeCell ref="B15:B20"/>
    <mergeCell ref="L10:M10"/>
    <mergeCell ref="K12:N12"/>
    <mergeCell ref="K11:N11"/>
  </mergeCells>
  <conditionalFormatting sqref="F16">
    <cfRule type="cellIs" dxfId="88" priority="7" operator="greaterThan">
      <formula>IF(Antriebsart2="Vollelektrisch (BEV)", IF(Segment="Standard", maxkWh, maxkWhVan), 1000)</formula>
    </cfRule>
    <cfRule type="expression" dxfId="87" priority="81">
      <formula>Antriebsart2="Verbrenner"</formula>
    </cfRule>
  </conditionalFormatting>
  <conditionalFormatting sqref="G16">
    <cfRule type="cellIs" dxfId="86" priority="6" operator="greaterThan">
      <formula>IF(Antriebsart3="Vollelektrisch (BEV)", IF(Segment="Standard", maxkWh, maxkWhVan), 1000)</formula>
    </cfRule>
    <cfRule type="expression" dxfId="85" priority="80">
      <formula>Antriebsart3="Verbrenner"</formula>
    </cfRule>
  </conditionalFormatting>
  <conditionalFormatting sqref="H16">
    <cfRule type="cellIs" dxfId="84" priority="5" operator="greaterThan">
      <formula>IF(Antriebsart4="Vollelektrisch (BEV)", IF(Segment="Standard", maxkWh, maxkWhVan), 1000)</formula>
    </cfRule>
    <cfRule type="expression" dxfId="83" priority="79">
      <formula>Antriebsart4="Verbrenner"</formula>
    </cfRule>
  </conditionalFormatting>
  <conditionalFormatting sqref="I16">
    <cfRule type="cellIs" dxfId="82" priority="4" operator="greaterThan">
      <formula>IF(Antriebsart5="Vollelektrisch (BEV)", IF(Segment="Standard", maxkWh, maxkWhVan), 1000)</formula>
    </cfRule>
    <cfRule type="expression" dxfId="81" priority="31">
      <formula>Antriebsart5="Verbrenner"</formula>
    </cfRule>
  </conditionalFormatting>
  <conditionalFormatting sqref="F17:F19">
    <cfRule type="expression" dxfId="80" priority="40">
      <formula>Antriebsart2="Vollelektrisch (BEV)"</formula>
    </cfRule>
  </conditionalFormatting>
  <conditionalFormatting sqref="G17:G19">
    <cfRule type="expression" dxfId="79" priority="37">
      <formula>Antriebsart3="Vollelektrisch (BEV)"</formula>
    </cfRule>
  </conditionalFormatting>
  <conditionalFormatting sqref="H17:H19">
    <cfRule type="expression" dxfId="78" priority="36">
      <formula>Antriebsart4="Vollelektrisch (BEV)"</formula>
    </cfRule>
  </conditionalFormatting>
  <conditionalFormatting sqref="I17:I19">
    <cfRule type="expression" dxfId="77" priority="35">
      <formula>Antriebsart5="Vollelektrisch (BEV)"</formula>
    </cfRule>
  </conditionalFormatting>
  <conditionalFormatting sqref="F21">
    <cfRule type="expression" dxfId="76" priority="63">
      <formula>AND(Antriebsart2&lt;&gt;"Vollelektrisch (BEV)",Antriebsart2&lt;&gt;"Plug-In-Hybrid (PHEV)")</formula>
    </cfRule>
  </conditionalFormatting>
  <conditionalFormatting sqref="G21">
    <cfRule type="expression" dxfId="75" priority="62">
      <formula>AND(Antriebsart3&lt;&gt;"Vollelektrisch (BEV)",Antriebsart3&lt;&gt;"Plug-In-Hybrid (PHEV)")</formula>
    </cfRule>
  </conditionalFormatting>
  <conditionalFormatting sqref="H21">
    <cfRule type="expression" dxfId="74" priority="61">
      <formula>AND(Antriebsart4&lt;&gt;"Vollelektrisch (BEV)",Antriebsart4&lt;&gt;"Plug-In-Hybrid (PHEV)")</formula>
    </cfRule>
  </conditionalFormatting>
  <conditionalFormatting sqref="I21">
    <cfRule type="expression" dxfId="73" priority="60">
      <formula>AND(Antriebsart5&lt;&gt;"Vollelektrisch (BEV)",Antriebsart5&lt;&gt;"Plug-In-Hybrid (PHEV)")</formula>
    </cfRule>
  </conditionalFormatting>
  <conditionalFormatting sqref="C14 F14:I14">
    <cfRule type="expression" dxfId="72" priority="59">
      <formula>FinArt&lt;&gt;"Leasing"</formula>
    </cfRule>
  </conditionalFormatting>
  <conditionalFormatting sqref="D14">
    <cfRule type="expression" dxfId="71" priority="58">
      <formula>FinArt="Leasing"</formula>
    </cfRule>
  </conditionalFormatting>
  <conditionalFormatting sqref="F15">
    <cfRule type="expression" dxfId="70" priority="56">
      <formula>Antriebsart2="Vollelektrisch (BEV)"</formula>
    </cfRule>
  </conditionalFormatting>
  <conditionalFormatting sqref="G15">
    <cfRule type="expression" dxfId="69" priority="55">
      <formula>Antriebsart3="Vollelektrisch (BEV)"</formula>
    </cfRule>
  </conditionalFormatting>
  <conditionalFormatting sqref="H15">
    <cfRule type="expression" dxfId="68" priority="54">
      <formula>Antriebsart4="Vollelektrisch (BEV)"</formula>
    </cfRule>
  </conditionalFormatting>
  <conditionalFormatting sqref="I15">
    <cfRule type="expression" dxfId="67" priority="53">
      <formula>Antriebsart5="Vollelektrisch (BEV)"</formula>
    </cfRule>
  </conditionalFormatting>
  <conditionalFormatting sqref="F20">
    <cfRule type="expression" dxfId="66" priority="44">
      <formula>Antriebsart2&lt;&gt;"Plug-In-Hybrid (PHEV)"</formula>
    </cfRule>
  </conditionalFormatting>
  <conditionalFormatting sqref="G20">
    <cfRule type="expression" dxfId="65" priority="43">
      <formula>Antriebsart3&lt;&gt;"Plug-In-Hybrid (PHEV)"</formula>
    </cfRule>
  </conditionalFormatting>
  <conditionalFormatting sqref="H20">
    <cfRule type="expression" dxfId="64" priority="42">
      <formula>Antriebsart4&lt;&gt;"Plug-In-Hybrid (PHEV)"</formula>
    </cfRule>
  </conditionalFormatting>
  <conditionalFormatting sqref="I20">
    <cfRule type="expression" dxfId="63" priority="34">
      <formula>Antriebsart5&lt;&gt;"Plug-In-Hybrid (PHEV)"</formula>
    </cfRule>
  </conditionalFormatting>
  <conditionalFormatting sqref="H17">
    <cfRule type="cellIs" dxfId="62" priority="68" operator="greaterThan">
      <formula>IF(Antriebsart4="Plug-in-Hybrid (PHEV)", maxCO2PHEV, IF(Segment="Standard", maxCO2, maxCO2Van))</formula>
    </cfRule>
  </conditionalFormatting>
  <conditionalFormatting sqref="F18:I18">
    <cfRule type="cellIs" dxfId="61" priority="67" operator="greaterThan">
      <formula>maxNOX</formula>
    </cfRule>
  </conditionalFormatting>
  <conditionalFormatting sqref="F19:I19">
    <cfRule type="cellIs" dxfId="60" priority="66" operator="greaterThan">
      <formula>maxPM</formula>
    </cfRule>
  </conditionalFormatting>
  <conditionalFormatting sqref="F20:I20">
    <cfRule type="cellIs" dxfId="59" priority="46" operator="lessThan">
      <formula>minReichwPHEV</formula>
    </cfRule>
  </conditionalFormatting>
  <conditionalFormatting sqref="F8:I8">
    <cfRule type="expression" dxfId="58" priority="25">
      <formula>F$22=1</formula>
    </cfRule>
  </conditionalFormatting>
  <conditionalFormatting sqref="K8:O8">
    <cfRule type="expression" dxfId="57" priority="24">
      <formula>$J$22=0</formula>
    </cfRule>
  </conditionalFormatting>
  <conditionalFormatting sqref="K18:O18">
    <cfRule type="expression" dxfId="56" priority="23">
      <formula>AND($J$22=0,$J$23=0)</formula>
    </cfRule>
  </conditionalFormatting>
  <conditionalFormatting sqref="E16">
    <cfRule type="expression" dxfId="55" priority="21">
      <formula>Antriebsart1="Verbrenner"</formula>
    </cfRule>
    <cfRule type="cellIs" dxfId="54" priority="84" operator="greaterThan">
      <formula>IF(Antriebsart1="Vollelektrisch (BEV)", IF(Segment="Standard", maxkWh, maxkWhVan), 1000)</formula>
    </cfRule>
  </conditionalFormatting>
  <conditionalFormatting sqref="E17:E19">
    <cfRule type="expression" dxfId="53" priority="12">
      <formula>Antriebsart1="Vollelektrisch (BEV)"</formula>
    </cfRule>
  </conditionalFormatting>
  <conditionalFormatting sqref="E21">
    <cfRule type="expression" dxfId="52" priority="17">
      <formula>AND(Antriebsart1&lt;&gt;"Vollelektrisch (BEV)",Antriebsart1&lt;&gt;"Plug-In-Hybrid (PHEV)")</formula>
    </cfRule>
  </conditionalFormatting>
  <conditionalFormatting sqref="E14">
    <cfRule type="expression" dxfId="51" priority="16">
      <formula>FinArt&lt;&gt;"Leasing"</formula>
    </cfRule>
  </conditionalFormatting>
  <conditionalFormatting sqref="E15">
    <cfRule type="expression" dxfId="50" priority="15">
      <formula>Antriebsart1="Vollelektrisch (BEV)"</formula>
    </cfRule>
  </conditionalFormatting>
  <conditionalFormatting sqref="E20">
    <cfRule type="expression" dxfId="49" priority="13">
      <formula>Antriebsart1&lt;&gt;"Plug-In-Hybrid (PHEV)"</formula>
    </cfRule>
  </conditionalFormatting>
  <conditionalFormatting sqref="E17">
    <cfRule type="cellIs" dxfId="48" priority="20" operator="greaterThan">
      <formula>IF(Antriebsart1="Plug-in-Hybrid (PHEV)", maxCO2PHEV, IF(Segment="Standard", maxCO2, maxCO2Van))</formula>
    </cfRule>
  </conditionalFormatting>
  <conditionalFormatting sqref="E18">
    <cfRule type="cellIs" dxfId="47" priority="19" operator="greaterThan">
      <formula>maxNOX</formula>
    </cfRule>
  </conditionalFormatting>
  <conditionalFormatting sqref="E19">
    <cfRule type="cellIs" dxfId="46" priority="18" operator="greaterThan">
      <formula>maxPM</formula>
    </cfRule>
  </conditionalFormatting>
  <conditionalFormatting sqref="E20">
    <cfRule type="cellIs" dxfId="45" priority="14" operator="lessThan">
      <formula>minReichwPHEV</formula>
    </cfRule>
  </conditionalFormatting>
  <conditionalFormatting sqref="E8">
    <cfRule type="expression" dxfId="44" priority="11">
      <formula>E$22=1</formula>
    </cfRule>
  </conditionalFormatting>
  <conditionalFormatting sqref="C13:D13">
    <cfRule type="expression" dxfId="43" priority="8">
      <formula>ISBLANK(FinArt)</formula>
    </cfRule>
  </conditionalFormatting>
  <conditionalFormatting sqref="I17">
    <cfRule type="cellIs" dxfId="42" priority="3" operator="greaterThan">
      <formula>IF(Antriebsart5="Plug-in-Hybrid (PHEV)", maxCO2PHEV, IF(Segment="Standard", maxCO2, maxCO2Van))</formula>
    </cfRule>
  </conditionalFormatting>
  <conditionalFormatting sqref="G17">
    <cfRule type="cellIs" dxfId="41" priority="2" operator="greaterThan">
      <formula>IF(Antriebsart3="Plug-in-Hybrid (PHEV)", maxCO2PHEV, IF(Segment="Standard", maxCO2, maxCO2Van))</formula>
    </cfRule>
  </conditionalFormatting>
  <conditionalFormatting sqref="F17">
    <cfRule type="cellIs" dxfId="40" priority="1" operator="greaterThan">
      <formula>IF(Antriebsart2="Plug-in-Hybrid (PHEV)", maxCO2PHEV, IF(Segment="Standard", maxCO2, maxCO2Van))</formula>
    </cfRule>
  </conditionalFormatting>
  <dataValidations count="19">
    <dataValidation type="list" allowBlank="1" showInputMessage="1" showErrorMessage="1" sqref="E7:I7" xr:uid="{00000000-0002-0000-0200-000000000000}">
      <formula1>AntrArtList</formula1>
    </dataValidation>
    <dataValidation type="list" allowBlank="1" showInputMessage="1" showErrorMessage="1" sqref="F8" xr:uid="{00000000-0002-0000-0200-000001000000}">
      <formula1>EnList2</formula1>
    </dataValidation>
    <dataValidation type="list" allowBlank="1" showInputMessage="1" showErrorMessage="1" sqref="G8" xr:uid="{00000000-0002-0000-0200-000002000000}">
      <formula1>EnList3</formula1>
    </dataValidation>
    <dataValidation type="list" allowBlank="1" showInputMessage="1" showErrorMessage="1" sqref="H8" xr:uid="{00000000-0002-0000-0200-000003000000}">
      <formula1>EnList4</formula1>
    </dataValidation>
    <dataValidation type="list" allowBlank="1" showInputMessage="1" showErrorMessage="1" sqref="I8" xr:uid="{00000000-0002-0000-0200-000004000000}">
      <formula1>EnList5</formula1>
    </dataValidation>
    <dataValidation type="decimal" errorStyle="warning" operator="lessThanOrEqual" allowBlank="1" showErrorMessage="1" errorTitle="Verbrauch zu hoch" error="Der angebotene Pkw überschreitet den Maximalverbrauch laut Beschaffungsvorschrift." sqref="I16" xr:uid="{00000000-0002-0000-0200-000005000000}">
      <formula1>IF(Antriebsart5="Vollelektrisch (BEV)", IF(Segment="Standard", maxkWh, maxkWhVan), 1000)</formula1>
    </dataValidation>
    <dataValidation type="decimal" errorStyle="warning" operator="lessThanOrEqual" allowBlank="1" showErrorMessage="1" errorTitle="CO2-Emissionen zu hoch" error="Der angebotene Pkw überschreitet die maximalen CO2-Emissionen laut Beschaffungsvorschrift." sqref="I17" xr:uid="{00000000-0002-0000-0200-000006000000}">
      <formula1>IF(Antriebsart5="Plug-in-Hybrid (PHEV)", maxCO2PHEV, IF(Segment="Standard", maxCO2, maxCO2Van))</formula1>
    </dataValidation>
    <dataValidation type="decimal" errorStyle="warning" operator="lessThanOrEqual" allowBlank="1" showErrorMessage="1" errorTitle="NOx-Emissionen zu hoch" error="Der angebotene Pkw überschreitet die maximalen NOx-Emissionen laut Beschaffungsvorschrift." sqref="E18:I18" xr:uid="{00000000-0002-0000-0200-000007000000}">
      <formula1>maxNOX</formula1>
    </dataValidation>
    <dataValidation type="decimal" errorStyle="warning" operator="lessThanOrEqual" allowBlank="1" showErrorMessage="1" errorTitle="Partikel-Emissionen zu hoch" error="Der angebotene Pkw überschreitet die maximalen Partikel-Emissionen laut Beschaffungsvorschrift." sqref="E19:I19" xr:uid="{00000000-0002-0000-0200-000008000000}">
      <formula1>maxPM</formula1>
    </dataValidation>
    <dataValidation type="decimal" errorStyle="warning" operator="greaterThanOrEqual" allowBlank="1" showErrorMessage="1" errorTitle="Elektrische Reichweite" error="Der angebotene PHEV-Pkw unterschreitet die minimale elektrische Reichweite laut Beschaffungsvorschrift." sqref="E20:I20" xr:uid="{00000000-0002-0000-0200-000009000000}">
      <formula1>minReichwPHEV</formula1>
    </dataValidation>
    <dataValidation type="list" allowBlank="1" showInputMessage="1" showErrorMessage="1" sqref="E8" xr:uid="{00000000-0002-0000-0200-00000A000000}">
      <formula1>EnList1</formula1>
    </dataValidation>
    <dataValidation type="decimal" errorStyle="warning" operator="lessThanOrEqual" allowBlank="1" showErrorMessage="1" errorTitle="Verbrauch zu hoch" error="Der angebotene Pkw überschreitet den Maximalverbrauch laut Beschaffungsvorschrift." sqref="F16" xr:uid="{9B371510-714F-4648-8CCE-9408D49EFDC4}">
      <formula1>IF(Antriebsart2="Vollelektrisch (BEV)", IF(Segment="Standard", maxkWh, maxkWhVan), 1000)</formula1>
    </dataValidation>
    <dataValidation type="decimal" errorStyle="warning" operator="lessThanOrEqual" allowBlank="1" showErrorMessage="1" errorTitle="Verbrauch zu hoch" error="Der angebotene Pkw überschreitet den Maximalverbrauch laut Beschaffungsvorschrift." sqref="E16" xr:uid="{72816104-E70C-4066-92E8-486A65C83609}">
      <formula1>IF(Antriebsart1="Vollelektrisch (BEV)", IF(Segment="Standard", maxkWh, maxkWhVan), 1000)</formula1>
    </dataValidation>
    <dataValidation type="decimal" errorStyle="warning" operator="lessThanOrEqual" allowBlank="1" showErrorMessage="1" errorTitle="Verbrauch zu hoch" error="Der angebotene Pkw überschreitet den Maximalverbrauch laut Beschaffungsvorschrift." sqref="G16" xr:uid="{EFFC6EAA-6384-4EA5-A199-7A758AEA01F8}">
      <formula1>IF(Antriebsart3="Vollelektrisch (BEV)", IF(Segment="Standard", maxkWh, maxkWhVan), 1000)</formula1>
    </dataValidation>
    <dataValidation type="decimal" errorStyle="warning" operator="lessThanOrEqual" allowBlank="1" showErrorMessage="1" errorTitle="Verbrauch zu hoch" error="Der angebotene Pkw überschreitet den Maximalverbrauch laut Beschaffungsvorschrift." sqref="H16" xr:uid="{468863E6-6375-450D-AEC2-5837DA8AA8B6}">
      <formula1>IF(Antriebsart4="Vollelektrisch (BEV)", IF(Segment="Standard", maxkWh, maxkWhVan), 1000)</formula1>
    </dataValidation>
    <dataValidation type="decimal" errorStyle="warning" operator="lessThanOrEqual" allowBlank="1" showErrorMessage="1" errorTitle="CO2-Emissionen zu hoch" error="Der angebotene Pkw überschreitet die maximalen CO2-Emissionen laut Beschaffungsvorschrift." sqref="E17" xr:uid="{F96C44BC-4D46-4D2D-8462-A9C112345473}">
      <formula1>IF(Antriebsart1="Plug-in-Hybrid (PHEV)", maxCO2PHEV, IF(Segment="Standard", maxCO2, maxCO2Van))</formula1>
    </dataValidation>
    <dataValidation type="decimal" errorStyle="warning" operator="lessThanOrEqual" allowBlank="1" showErrorMessage="1" errorTitle="CO2-Emissionen zu hoch" error="Der angebotene Pkw überschreitet die maximalen CO2-Emissionen laut Beschaffungsvorschrift." sqref="F17" xr:uid="{3854225B-ED8F-4525-BDA7-E09DB848507F}">
      <formula1>IF(Antriebsart2="Plug-in-Hybrid (PHEV)", maxCO2PHEV, IF(Segment="Standard", maxCO2, maxCO2Van))</formula1>
    </dataValidation>
    <dataValidation type="decimal" errorStyle="warning" operator="lessThanOrEqual" allowBlank="1" showErrorMessage="1" errorTitle="CO2-Emissionen zu hoch" error="Der angebotene Pkw überschreitet die maximalen CO2-Emissionen laut Beschaffungsvorschrift." sqref="G17" xr:uid="{32FF15A9-DE8F-4EB6-8E08-AF820A65017F}">
      <formula1>IF(Antriebsart3="Plug-in-Hybrid (PHEV)", maxCO2PHEV, IF(Segment="Standard", maxCO2, maxCO2Van))</formula1>
    </dataValidation>
    <dataValidation type="decimal" errorStyle="warning" operator="lessThanOrEqual" allowBlank="1" showErrorMessage="1" errorTitle="CO2-Emissionen zu hoch" error="Der angebotene Pkw überschreitet die maximalen CO2-Emissionen laut Beschaffungsvorschrift." sqref="H17" xr:uid="{38B6D6AF-2F45-445E-9681-1E964EFD32E4}">
      <formula1>IF(Antriebsart4="Plug-in-Hybrid (PHEV)", maxCO2PHEV, IF(Segment="Standard", maxCO2, maxCO2Van))</formula1>
    </dataValidation>
  </dataValidations>
  <hyperlinks>
    <hyperlink ref="K2" location="Anleitung!A1" display="zurück zu &quot;Anleitung&quot;" xr:uid="{00000000-0004-0000-0200-000000000000}"/>
    <hyperlink ref="E24:I24" location="Grunddaten!A1" display="Bei diesen Werten wird geprüft, ob sie Ihrer Beschaffungsvorschrift ent-sprechen. Ggf. müssen Sie die voreingestellen Mindestanforderungen mit Ihren spezifischen Anforderungen abgleichen (Tabellenblatt &quot;Grunddaten&quot;). " xr:uid="{00000000-0004-0000-0200-000001000000}"/>
  </hyperlinks>
  <pageMargins left="0.7" right="0.7" top="0.78740157499999996" bottom="0.78740157499999996" header="0.3" footer="0.3"/>
  <pageSetup paperSize="9" orientation="portrait" r:id="rId1"/>
  <ignoredErrors>
    <ignoredError sqref="E22:H22 E23:I23 I22" unlocked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CC"/>
    <pageSetUpPr fitToPage="1"/>
  </sheetPr>
  <dimension ref="A1:J34"/>
  <sheetViews>
    <sheetView showGridLines="0" zoomScaleNormal="100" workbookViewId="0"/>
  </sheetViews>
  <sheetFormatPr baseColWidth="10" defaultColWidth="11.5546875" defaultRowHeight="13.8" x14ac:dyDescent="0.25"/>
  <cols>
    <col min="1" max="1" width="4.6640625" style="1" customWidth="1"/>
    <col min="2" max="2" width="36.6640625" style="1" customWidth="1"/>
    <col min="3" max="3" width="11.33203125" style="1" customWidth="1"/>
    <col min="4" max="8" width="13.33203125" style="1" customWidth="1"/>
    <col min="9" max="9" width="4.6640625" style="1" customWidth="1"/>
    <col min="10" max="16" width="11.5546875" style="1"/>
    <col min="17" max="17" width="10.6640625" style="1" customWidth="1"/>
    <col min="18" max="16384" width="11.5546875" style="1"/>
  </cols>
  <sheetData>
    <row r="1" spans="1:10" ht="14.4" x14ac:dyDescent="0.3">
      <c r="B1" s="130" t="s">
        <v>116</v>
      </c>
      <c r="C1" s="130"/>
      <c r="D1" s="130"/>
      <c r="E1" s="130"/>
      <c r="F1" s="131"/>
      <c r="G1" s="131"/>
      <c r="H1" s="131"/>
    </row>
    <row r="2" spans="1:10" ht="14.4" x14ac:dyDescent="0.25">
      <c r="A2" s="108" t="s">
        <v>17</v>
      </c>
      <c r="B2" s="111" t="s">
        <v>117</v>
      </c>
      <c r="C2" s="257"/>
      <c r="D2" s="260" t="str">
        <f ca="1">IF(I26&gt;0,"Resultate ungültig - Eingabewerte fehlen !","")</f>
        <v/>
      </c>
      <c r="E2" s="259"/>
      <c r="F2" s="259"/>
      <c r="G2" s="259"/>
      <c r="H2" s="20"/>
      <c r="J2" s="118" t="s">
        <v>28</v>
      </c>
    </row>
    <row r="3" spans="1:10" x14ac:dyDescent="0.25">
      <c r="A3" s="18"/>
      <c r="B3" s="18"/>
      <c r="C3" s="18"/>
      <c r="D3" s="19"/>
      <c r="E3" s="19"/>
      <c r="F3" s="19"/>
      <c r="G3" s="19"/>
      <c r="H3" s="19"/>
    </row>
    <row r="4" spans="1:10" x14ac:dyDescent="0.25">
      <c r="A4" s="18"/>
      <c r="B4" s="3" t="s">
        <v>118</v>
      </c>
      <c r="C4" s="3"/>
      <c r="D4" s="3"/>
      <c r="E4" s="3"/>
      <c r="F4" s="3"/>
      <c r="G4" s="3"/>
      <c r="H4" s="3"/>
    </row>
    <row r="5" spans="1:10" x14ac:dyDescent="0.25">
      <c r="A5" s="18"/>
    </row>
    <row r="6" spans="1:10" ht="14.4" x14ac:dyDescent="0.3">
      <c r="A6" s="18"/>
      <c r="B6" s="12" t="s">
        <v>30</v>
      </c>
      <c r="C6" s="85" t="str">
        <f>IF(Projektname_Z1=0,"",Projektname_Z1)</f>
        <v>Los 1 - Kauf von 1 Kompaktklasse Pkw</v>
      </c>
      <c r="D6" s="86"/>
      <c r="E6" s="86"/>
      <c r="F6" s="86"/>
      <c r="G6" s="86"/>
      <c r="H6" s="87"/>
    </row>
    <row r="7" spans="1:10" ht="14.4" x14ac:dyDescent="0.3">
      <c r="A7" s="18"/>
      <c r="B7" s="12"/>
      <c r="C7" s="88" t="str">
        <f>IF(Projektname_Z2=0,"",Projektname_Z2)</f>
        <v/>
      </c>
      <c r="D7" s="80"/>
      <c r="E7" s="80"/>
      <c r="F7" s="80"/>
      <c r="G7" s="80"/>
      <c r="H7" s="89"/>
    </row>
    <row r="8" spans="1:10" ht="14.4" x14ac:dyDescent="0.3">
      <c r="A8" s="18"/>
      <c r="B8" s="12"/>
      <c r="C8" s="90" t="str">
        <f>IF(Projektname_Z3=0,"",Projektname_Z3)</f>
        <v/>
      </c>
      <c r="D8" s="91"/>
      <c r="E8" s="91"/>
      <c r="F8" s="91"/>
      <c r="G8" s="91"/>
      <c r="H8" s="92"/>
    </row>
    <row r="9" spans="1:10" ht="14.4" x14ac:dyDescent="0.3">
      <c r="A9" s="18"/>
      <c r="B9" s="77" t="s">
        <v>32</v>
      </c>
      <c r="C9" s="93" t="str">
        <f>IF(Unternehmen=0,"",Unternehmen)</f>
        <v>Landratsamt Bärstedt</v>
      </c>
      <c r="D9" s="94"/>
      <c r="E9" s="94"/>
      <c r="F9" s="94"/>
      <c r="G9" s="94"/>
      <c r="H9" s="95"/>
    </row>
    <row r="10" spans="1:10" ht="14.4" x14ac:dyDescent="0.3">
      <c r="A10" s="18"/>
      <c r="B10" s="12" t="s">
        <v>34</v>
      </c>
      <c r="C10" s="93" t="str">
        <f>IF(Zustaendig=0,"",Zustaendig)</f>
        <v>Erika Musterfrau</v>
      </c>
      <c r="D10" s="94"/>
      <c r="E10" s="94"/>
      <c r="F10" s="94"/>
      <c r="G10" s="94"/>
      <c r="H10" s="95"/>
    </row>
    <row r="11" spans="1:10" ht="14.4" x14ac:dyDescent="0.3">
      <c r="A11" s="18"/>
      <c r="B11" s="12" t="s">
        <v>36</v>
      </c>
      <c r="C11" s="376">
        <f>IF(Datum=0,"",Datum)</f>
        <v>45160</v>
      </c>
      <c r="D11" s="377"/>
      <c r="E11" s="82"/>
      <c r="F11" s="84"/>
      <c r="G11" s="84"/>
      <c r="H11" s="81"/>
    </row>
    <row r="12" spans="1:10" ht="14.4" x14ac:dyDescent="0.3">
      <c r="A12" s="18"/>
      <c r="B12" s="12"/>
      <c r="C12" s="79"/>
      <c r="E12" s="60" t="s">
        <v>39</v>
      </c>
      <c r="F12" s="96">
        <f>Fahrleistung</f>
        <v>20000</v>
      </c>
      <c r="G12" s="97" t="s">
        <v>40</v>
      </c>
      <c r="H12" s="83"/>
    </row>
    <row r="13" spans="1:10" ht="14.4" x14ac:dyDescent="0.3">
      <c r="A13" s="18"/>
      <c r="B13" s="60"/>
      <c r="C13" s="80"/>
      <c r="E13" s="76" t="s">
        <v>43</v>
      </c>
      <c r="F13" s="98">
        <f>Haltedauer</f>
        <v>7</v>
      </c>
      <c r="G13" s="97" t="s">
        <v>44</v>
      </c>
      <c r="H13" s="83"/>
    </row>
    <row r="14" spans="1:10" x14ac:dyDescent="0.25">
      <c r="A14" s="18"/>
      <c r="B14" s="18"/>
      <c r="C14" s="18"/>
      <c r="D14" s="19"/>
      <c r="E14" s="19"/>
      <c r="F14" s="19"/>
      <c r="G14" s="19"/>
      <c r="H14" s="19"/>
    </row>
    <row r="15" spans="1:10" x14ac:dyDescent="0.25">
      <c r="A15" s="18"/>
      <c r="B15" s="21" t="s">
        <v>119</v>
      </c>
      <c r="C15" s="22"/>
      <c r="D15" s="22"/>
      <c r="E15" s="22"/>
      <c r="F15" s="22"/>
      <c r="G15" s="22"/>
      <c r="H15" s="23"/>
    </row>
    <row r="16" spans="1:10" x14ac:dyDescent="0.25">
      <c r="A16" s="18"/>
      <c r="B16" s="39" t="s">
        <v>60</v>
      </c>
      <c r="C16" s="25"/>
      <c r="D16" s="26">
        <v>1</v>
      </c>
      <c r="E16" s="26">
        <v>2</v>
      </c>
      <c r="F16" s="26">
        <v>3</v>
      </c>
      <c r="G16" s="26">
        <v>4</v>
      </c>
      <c r="H16" s="27">
        <v>5</v>
      </c>
    </row>
    <row r="17" spans="1:9" ht="78.75" customHeight="1" x14ac:dyDescent="0.25">
      <c r="A17" s="18"/>
      <c r="B17" s="40"/>
      <c r="C17" s="41"/>
      <c r="D17" s="42" t="str">
        <f>CONCATENATE(Erg.Pkw_1!$C$10," ",Erg.Pkw_1!$C$11," ",Erg.Pkw_1!$C$13," ",Erg.Pkw_1!$C$14)</f>
        <v>VW ID.3 Vollelektrisch (BEV) Strom</v>
      </c>
      <c r="E17" s="42" t="str">
        <f>CONCATENATE(Erg.Pkw_2!$C$10," ",Erg.Pkw_2!$C$11," ",Erg.Pkw_2!$C$13," ",Erg.Pkw_2!$C$14)</f>
        <v>VW Golf 2.0 TDI Verbrenner Diesel</v>
      </c>
      <c r="F17" s="42" t="str">
        <f>CONCATENATE(Erg.Pkw_3!$C$10," ",Erg.Pkw_3!$C$11," ",Erg.Pkw_3!$C$13," ",Erg.Pkw_3!$C$14)</f>
        <v>Opel Astra 1.5 Diesel Verbrenner Diesel</v>
      </c>
      <c r="G17" s="42" t="str">
        <f>CONCATENATE(Erg.Pkw_4!$C$10," ",Erg.Pkw_4!$C$11," ",Erg.Pkw_4!$C$13," ",Erg.Pkw_4!$C$14)</f>
        <v>Kia Niro 1.6 GDI Plug-in-Hybrid (PHEV) Benzin</v>
      </c>
      <c r="H17" s="28" t="str">
        <f>CONCATENATE(Erg.Pkw_5!$C$10," ",Erg.Pkw_5!$C$11," ",Erg.Pkw_5!$C$13," ",Erg.Pkw_5!$C$14)</f>
        <v>Renault Mégane E-TECH Plug-in-Hybrid (PHEV) Benzin</v>
      </c>
    </row>
    <row r="18" spans="1:9" x14ac:dyDescent="0.25">
      <c r="A18" s="18"/>
      <c r="B18" s="193" t="s">
        <v>120</v>
      </c>
      <c r="C18" s="194" t="s">
        <v>96</v>
      </c>
      <c r="D18" s="195">
        <f>IF(FinArt="Kauf",Gesamtpreis1,"")</f>
        <v>38060</v>
      </c>
      <c r="E18" s="195">
        <f>IF(FinArt="Kauf",Gesamtpreis2,"")</f>
        <v>31300</v>
      </c>
      <c r="F18" s="195">
        <f>IF(FinArt="Kauf",Gesamtpreis3,"")</f>
        <v>31850</v>
      </c>
      <c r="G18" s="195">
        <f>IF(FinArt="Kauf",Gesamtpreis4,"")</f>
        <v>36690</v>
      </c>
      <c r="H18" s="196">
        <f>IF(FinArt="Kauf",Gesamtpreis5,"")</f>
        <v>38000</v>
      </c>
      <c r="I18" s="119"/>
    </row>
    <row r="19" spans="1:9" ht="14.4" x14ac:dyDescent="0.25">
      <c r="A19" s="108" t="s">
        <v>17</v>
      </c>
      <c r="B19" s="24" t="str">
        <f>IF(FinArt="Kauf",KaufpreisRech,"Fahrzeugkosten (Leasingrate/Miete)")</f>
        <v>Wertminderung</v>
      </c>
      <c r="C19" s="18" t="s">
        <v>96</v>
      </c>
      <c r="D19" s="43">
        <f>Erg.Pkw_1!$C$54+Erg.Pkw_1!$C$55</f>
        <v>27486.248054609045</v>
      </c>
      <c r="E19" s="43">
        <f>Erg.Pkw_2!$C$54+Erg.Pkw_2!$C$55</f>
        <v>22604.297533086261</v>
      </c>
      <c r="F19" s="43">
        <f>Erg.Pkw_3!$C$54+Erg.Pkw_3!$C$55</f>
        <v>23001.497649482342</v>
      </c>
      <c r="G19" s="43">
        <f>Erg.Pkw_4!$C$54+Erg.Pkw_4!$C$55</f>
        <v>26496.858673767885</v>
      </c>
      <c r="H19" s="44">
        <f>Erg.Pkw_5!$C$54+Erg.Pkw_5!$C$55</f>
        <v>27442.917132820381</v>
      </c>
    </row>
    <row r="20" spans="1:9" x14ac:dyDescent="0.25">
      <c r="A20" s="18"/>
      <c r="B20" s="47" t="s">
        <v>121</v>
      </c>
      <c r="C20" s="18" t="s">
        <v>96</v>
      </c>
      <c r="D20" s="43">
        <f>Erg.Pkw_1!$C$56</f>
        <v>10799.6</v>
      </c>
      <c r="E20" s="43">
        <f>Erg.Pkw_2!$C$56</f>
        <v>10451.699999999999</v>
      </c>
      <c r="F20" s="43">
        <f>Erg.Pkw_3!$C$56</f>
        <v>9987.18</v>
      </c>
      <c r="G20" s="43">
        <f>Erg.Pkw_4!$C$56</f>
        <v>11200.475799022584</v>
      </c>
      <c r="H20" s="44">
        <f>Erg.Pkw_5!$C$56</f>
        <v>10906.028397128664</v>
      </c>
    </row>
    <row r="21" spans="1:9" x14ac:dyDescent="0.25">
      <c r="A21" s="378" t="s">
        <v>17</v>
      </c>
      <c r="B21" s="29" t="s">
        <v>122</v>
      </c>
      <c r="C21" s="30" t="s">
        <v>96</v>
      </c>
      <c r="D21" s="45">
        <f>Erg.Pkw_1!$C$57</f>
        <v>0</v>
      </c>
      <c r="E21" s="45">
        <f>Erg.Pkw_2!$C$57</f>
        <v>8299.48</v>
      </c>
      <c r="F21" s="45">
        <f>Erg.Pkw_3!$C$57</f>
        <v>8065.0500000000011</v>
      </c>
      <c r="G21" s="45">
        <f>Erg.Pkw_4!$C$57</f>
        <v>4878.4174552688337</v>
      </c>
      <c r="H21" s="46">
        <f>Erg.Pkw_5!$C$57</f>
        <v>4169.4362185872615</v>
      </c>
    </row>
    <row r="22" spans="1:9" ht="14.4" customHeight="1" x14ac:dyDescent="0.25">
      <c r="A22" s="378"/>
      <c r="B22" s="29" t="s">
        <v>123</v>
      </c>
      <c r="C22" s="30" t="s">
        <v>96</v>
      </c>
      <c r="D22" s="45">
        <f ca="1">Erg.Pkw_1!C41*Haltedauer</f>
        <v>3658.7129599999989</v>
      </c>
      <c r="E22" s="45">
        <f>Erg.Pkw_2!C41*Haltedauer</f>
        <v>1785.34944</v>
      </c>
      <c r="F22" s="45">
        <f>Erg.Pkw_3!C41*Haltedauer</f>
        <v>1706.0005760000001</v>
      </c>
      <c r="G22" s="45">
        <f ca="1">Erg.Pkw_4!C41*Haltedauer</f>
        <v>2313.8745061867435</v>
      </c>
      <c r="H22" s="46">
        <f ca="1">Erg.Pkw_5!C41*Haltedauer</f>
        <v>2425.2141239462831</v>
      </c>
      <c r="I22" s="119"/>
    </row>
    <row r="23" spans="1:9" x14ac:dyDescent="0.25">
      <c r="A23" s="378"/>
      <c r="B23" s="31" t="s">
        <v>124</v>
      </c>
      <c r="C23" s="48" t="s">
        <v>96</v>
      </c>
      <c r="D23" s="49">
        <f>Erg.Pkw_1!$C$59</f>
        <v>1657.0909090909088</v>
      </c>
      <c r="E23" s="49">
        <f>Erg.Pkw_2!$C$59</f>
        <v>0</v>
      </c>
      <c r="F23" s="49">
        <f>Erg.Pkw_3!$C$59</f>
        <v>0</v>
      </c>
      <c r="G23" s="49">
        <f>Erg.Pkw_4!$C$59</f>
        <v>320.72727272727275</v>
      </c>
      <c r="H23" s="50">
        <f>Erg.Pkw_5!$C$59</f>
        <v>261.92727272727268</v>
      </c>
    </row>
    <row r="24" spans="1:9" ht="14.4" thickBot="1" x14ac:dyDescent="0.3">
      <c r="A24" s="18"/>
      <c r="B24" s="51" t="s">
        <v>125</v>
      </c>
      <c r="C24" s="52" t="s">
        <v>96</v>
      </c>
      <c r="D24" s="53">
        <f t="shared" ref="D24:F24" ca="1" si="0">IF(SUM(D19:D23)=0,"",SUM(D19:D23))</f>
        <v>43601.651923699952</v>
      </c>
      <c r="E24" s="53">
        <f t="shared" si="0"/>
        <v>43140.826973086259</v>
      </c>
      <c r="F24" s="53">
        <f t="shared" si="0"/>
        <v>42759.728225482344</v>
      </c>
      <c r="G24" s="53">
        <f ca="1">IF(SUM(G19:G23)=0,"",SUM(G19:G23))</f>
        <v>45210.353706973321</v>
      </c>
      <c r="H24" s="54">
        <f ca="1">IF(SUM(H19:H23)=0,"",SUM(H19:H23))</f>
        <v>45205.523145209852</v>
      </c>
    </row>
    <row r="25" spans="1:9" ht="15" thickTop="1" thickBot="1" x14ac:dyDescent="0.3">
      <c r="A25" s="18"/>
      <c r="B25" s="78" t="s">
        <v>126</v>
      </c>
      <c r="C25" s="52"/>
      <c r="D25" s="53">
        <f t="shared" ref="D25:F25" ca="1" si="1">IFERROR(_xlfn.RANK.EQ(D24,$D$24:$H$24,1),"")</f>
        <v>3</v>
      </c>
      <c r="E25" s="53">
        <f t="shared" ca="1" si="1"/>
        <v>2</v>
      </c>
      <c r="F25" s="53">
        <f t="shared" ca="1" si="1"/>
        <v>1</v>
      </c>
      <c r="G25" s="53">
        <f ca="1">IFERROR(_xlfn.RANK.EQ(G24,$D$24:$H$24,1),"")</f>
        <v>5</v>
      </c>
      <c r="H25" s="54">
        <f ca="1">IFERROR(_xlfn.RANK.EQ(H24,$D$24:$H$24,1),"")</f>
        <v>4</v>
      </c>
      <c r="I25" s="119"/>
    </row>
    <row r="26" spans="1:9" ht="20.399999999999999" customHeight="1" thickTop="1" x14ac:dyDescent="0.25">
      <c r="A26" s="18"/>
      <c r="B26" s="120" t="s">
        <v>127</v>
      </c>
      <c r="C26" s="69" t="s">
        <v>112</v>
      </c>
      <c r="D26" s="262">
        <f ca="1">IF(AND(COUNTIF(D19:D23,0)&gt;0,Antriebsart1="Plug-In-Hybrid (PHEV)"),1,IF(AND(COUNTIF(D19:D23,0)&gt;1,Antriebsart1&lt;&gt;0),1,0))</f>
        <v>0</v>
      </c>
      <c r="E26" s="262">
        <f>IF(AND(COUNTIF(E19:E23,0)&gt;0,Antriebsart2="Plug-In-Hybrid (PHEV)"),1,IF(AND(COUNTIF(E19:E23,0)&gt;1,Antriebsart2&lt;&gt;0),1,0))</f>
        <v>0</v>
      </c>
      <c r="F26" s="262">
        <f>IF(AND(COUNTIF(F19:F23,0)&gt;0,Antriebsart3="Plug-In-Hybrid (PHEV)"),1,IF(AND(COUNTIF(F19:F23,0)&gt;1,Antriebsart3&lt;&gt;0),1,0))</f>
        <v>0</v>
      </c>
      <c r="G26" s="262">
        <f ca="1">IF(AND(COUNTIF(G19:G23,0)&gt;0,Antriebsart4="Plug-In-Hybrid (PHEV)"),1,IF(AND(COUNTIF(G19:G23,0)&gt;1,Antriebsart4&lt;&gt;0),1,0))</f>
        <v>0</v>
      </c>
      <c r="H26" s="263">
        <f ca="1">IF(AND(COUNTIF(H19:H23,0)&gt;0,Antriebsart5="Plug-In-Hybrid (PHEV)"),1,IF(AND(COUNTIF(H19:H23,0)&gt;1,Antriebsart5&lt;&gt;0),1,0))</f>
        <v>0</v>
      </c>
      <c r="I26" s="264">
        <f ca="1">SUM(D26:H26)+Eingabe_Angebotswerte!J22+Eingabe_Angebotswerte!J23</f>
        <v>0</v>
      </c>
    </row>
    <row r="27" spans="1:9" ht="25.95" customHeight="1" x14ac:dyDescent="0.25">
      <c r="A27" s="35"/>
      <c r="B27" s="36" t="s">
        <v>128</v>
      </c>
      <c r="C27" s="33" t="s">
        <v>129</v>
      </c>
      <c r="D27" s="34">
        <f>Erg.Pkw_1!$C$62</f>
        <v>3.3141818181818179</v>
      </c>
      <c r="E27" s="34">
        <f>Erg.Pkw_2!$C$62</f>
        <v>0</v>
      </c>
      <c r="F27" s="34">
        <f>Erg.Pkw_3!$C$62</f>
        <v>0</v>
      </c>
      <c r="G27" s="34">
        <f>Erg.Pkw_4!$C$62</f>
        <v>0.6414545454545455</v>
      </c>
      <c r="H27" s="55">
        <f>Erg.Pkw_5!$C$62</f>
        <v>0.52385454545454546</v>
      </c>
    </row>
    <row r="28" spans="1:9" ht="27" customHeight="1" x14ac:dyDescent="0.25">
      <c r="A28" s="35"/>
      <c r="B28" s="109" t="s">
        <v>130</v>
      </c>
      <c r="C28" s="110" t="s">
        <v>129</v>
      </c>
      <c r="D28" s="37">
        <f ca="1">Erg.Pkw_1!$C$63</f>
        <v>7.3174259199999989</v>
      </c>
      <c r="E28" s="37">
        <f>Erg.Pkw_2!$C$63</f>
        <v>19.950698879999997</v>
      </c>
      <c r="F28" s="37">
        <f>Erg.Pkw_3!$C$63</f>
        <v>19.232001151999999</v>
      </c>
      <c r="G28" s="37">
        <f ca="1">Erg.Pkw_4!$C$63</f>
        <v>14.283923922911153</v>
      </c>
      <c r="H28" s="38">
        <f ca="1">Erg.Pkw_5!$C$63</f>
        <v>13.129940685067089</v>
      </c>
      <c r="I28" s="102"/>
    </row>
    <row r="30" spans="1:9" x14ac:dyDescent="0.25">
      <c r="B30" s="21" t="s">
        <v>131</v>
      </c>
      <c r="C30" s="22"/>
      <c r="D30" s="22"/>
      <c r="E30" s="22"/>
      <c r="F30" s="22"/>
      <c r="G30" s="22"/>
      <c r="H30" s="23"/>
    </row>
    <row r="31" spans="1:9" ht="363.6" customHeight="1" x14ac:dyDescent="0.25">
      <c r="B31" s="6"/>
      <c r="D31" s="10"/>
      <c r="E31" s="10"/>
      <c r="F31" s="10"/>
      <c r="G31" s="10"/>
      <c r="H31" s="112"/>
      <c r="I31" s="121"/>
    </row>
    <row r="32" spans="1:9" ht="15" customHeight="1" x14ac:dyDescent="0.25">
      <c r="B32" s="132">
        <f ca="1">D25</f>
        <v>3</v>
      </c>
      <c r="C32" s="133">
        <f ca="1">E25</f>
        <v>2</v>
      </c>
      <c r="D32" s="135">
        <f ca="1">F25</f>
        <v>1</v>
      </c>
      <c r="E32" s="135"/>
      <c r="F32" s="134">
        <f ca="1">G25</f>
        <v>5</v>
      </c>
      <c r="G32" s="135">
        <f ca="1">H25</f>
        <v>4</v>
      </c>
      <c r="H32" s="113"/>
      <c r="I32" s="119"/>
    </row>
    <row r="33" spans="2:8" x14ac:dyDescent="0.25">
      <c r="D33" s="10"/>
      <c r="E33" s="10"/>
      <c r="F33" s="10"/>
      <c r="G33" s="10"/>
      <c r="H33" s="10"/>
    </row>
    <row r="34" spans="2:8" x14ac:dyDescent="0.25">
      <c r="B34" s="119"/>
    </row>
  </sheetData>
  <sheetProtection sheet="1" objects="1" scenarios="1"/>
  <mergeCells count="2">
    <mergeCell ref="C11:D11"/>
    <mergeCell ref="A21:A23"/>
  </mergeCells>
  <conditionalFormatting sqref="D25:H25">
    <cfRule type="colorScale" priority="22">
      <colorScale>
        <cfvo type="min"/>
        <cfvo type="percent" val="20"/>
        <cfvo type="max"/>
        <color rgb="FF63BE7B"/>
        <color rgb="FFFFEB84"/>
        <color rgb="FFF8696B"/>
      </colorScale>
    </cfRule>
  </conditionalFormatting>
  <conditionalFormatting sqref="B18:H18">
    <cfRule type="expression" dxfId="39" priority="20">
      <formula>AND(KaufpreisRech="Wertminderung",FinArt="Kauf")</formula>
    </cfRule>
  </conditionalFormatting>
  <conditionalFormatting sqref="F17">
    <cfRule type="expression" dxfId="38" priority="16">
      <formula>"ISTLEER(Gesamtpreis3)"</formula>
    </cfRule>
  </conditionalFormatting>
  <conditionalFormatting sqref="C2:G2">
    <cfRule type="expression" dxfId="37" priority="11">
      <formula>$I$26=0</formula>
    </cfRule>
  </conditionalFormatting>
  <conditionalFormatting sqref="B32:D32 F32:G32">
    <cfRule type="top10" dxfId="36" priority="80" percent="1" bottom="1" rank="10"/>
    <cfRule type="top10" dxfId="35" priority="81" percent="1" rank="10"/>
    <cfRule type="aboveAverage" dxfId="34" priority="82"/>
    <cfRule type="aboveAverage" dxfId="33" priority="83" aboveAverage="0"/>
    <cfRule type="aboveAverage" dxfId="32" priority="84" equalAverage="1"/>
  </conditionalFormatting>
  <conditionalFormatting sqref="E32">
    <cfRule type="top10" dxfId="31" priority="1" percent="1" bottom="1" rank="10"/>
    <cfRule type="top10" dxfId="30" priority="2" percent="1" rank="10"/>
    <cfRule type="aboveAverage" dxfId="29" priority="3"/>
    <cfRule type="aboveAverage" dxfId="28" priority="4" aboveAverage="0"/>
    <cfRule type="aboveAverage" dxfId="27" priority="5" equalAverage="1"/>
  </conditionalFormatting>
  <hyperlinks>
    <hyperlink ref="J2" location="Anleitung!A1" display="zurück zu &quot;Anleitung&quot;" xr:uid="{00000000-0004-0000-0300-000000000000}"/>
  </hyperlinks>
  <pageMargins left="0.43307086614173229" right="0.23622047244094491" top="0.74803149606299213" bottom="0.74803149606299213" header="0.31496062992125984" footer="0.31496062992125984"/>
  <pageSetup paperSize="9" scale="82"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J32"/>
  <sheetViews>
    <sheetView showGridLines="0" zoomScaleNormal="100" workbookViewId="0"/>
  </sheetViews>
  <sheetFormatPr baseColWidth="10" defaultColWidth="11.5546875" defaultRowHeight="13.8" x14ac:dyDescent="0.25"/>
  <cols>
    <col min="1" max="1" width="4.6640625" style="1" customWidth="1"/>
    <col min="2" max="2" width="36.6640625" style="1" customWidth="1"/>
    <col min="3" max="3" width="11.33203125" style="1" customWidth="1"/>
    <col min="4" max="8" width="13.33203125" style="1" customWidth="1"/>
    <col min="9" max="9" width="4.6640625" style="1" customWidth="1"/>
    <col min="10" max="16384" width="11.5546875" style="1"/>
  </cols>
  <sheetData>
    <row r="1" spans="1:10" ht="14.4" x14ac:dyDescent="0.3">
      <c r="B1" s="130" t="s">
        <v>116</v>
      </c>
      <c r="C1" s="130"/>
      <c r="D1" s="130"/>
      <c r="E1" s="130"/>
      <c r="F1" s="131"/>
      <c r="G1" s="131"/>
      <c r="H1" s="131"/>
    </row>
    <row r="2" spans="1:10" ht="14.4" x14ac:dyDescent="0.25">
      <c r="A2" s="108" t="s">
        <v>17</v>
      </c>
      <c r="B2" s="111" t="s">
        <v>117</v>
      </c>
      <c r="C2" s="257"/>
      <c r="D2" s="260" t="str">
        <f ca="1">IF(I24&gt;0,"Resultate ungültig - Eingabewerte fehlen !","")</f>
        <v/>
      </c>
      <c r="E2" s="259"/>
      <c r="F2" s="259"/>
      <c r="G2" s="259"/>
      <c r="H2" s="20"/>
      <c r="J2" s="118" t="s">
        <v>28</v>
      </c>
    </row>
    <row r="3" spans="1:10" x14ac:dyDescent="0.25">
      <c r="A3" s="18"/>
      <c r="B3" s="18"/>
      <c r="C3" s="18"/>
      <c r="D3" s="19"/>
      <c r="E3" s="19"/>
      <c r="F3" s="19"/>
      <c r="G3" s="19"/>
      <c r="H3" s="19"/>
    </row>
    <row r="4" spans="1:10" x14ac:dyDescent="0.25">
      <c r="A4" s="18"/>
      <c r="B4" s="3" t="s">
        <v>118</v>
      </c>
      <c r="C4" s="3"/>
      <c r="D4" s="3"/>
      <c r="E4" s="3"/>
      <c r="F4" s="3"/>
      <c r="G4" s="3"/>
      <c r="H4" s="3"/>
    </row>
    <row r="5" spans="1:10" x14ac:dyDescent="0.25">
      <c r="A5" s="18"/>
    </row>
    <row r="6" spans="1:10" ht="14.4" x14ac:dyDescent="0.3">
      <c r="A6" s="18"/>
      <c r="B6" s="12" t="s">
        <v>30</v>
      </c>
      <c r="C6" s="85" t="str">
        <f>IF(Projektname_Z1=0,"",Projektname_Z1)</f>
        <v>Los 1 - Kauf von 1 Kompaktklasse Pkw</v>
      </c>
      <c r="D6" s="86"/>
      <c r="E6" s="86"/>
      <c r="F6" s="86"/>
      <c r="G6" s="86"/>
      <c r="H6" s="87"/>
    </row>
    <row r="7" spans="1:10" ht="14.4" x14ac:dyDescent="0.3">
      <c r="A7" s="18"/>
      <c r="B7" s="12"/>
      <c r="C7" s="88" t="str">
        <f>IF(Projektname_Z2=0,"",Projektname_Z2)</f>
        <v/>
      </c>
      <c r="D7" s="80"/>
      <c r="E7" s="80"/>
      <c r="F7" s="80"/>
      <c r="G7" s="80"/>
      <c r="H7" s="89"/>
    </row>
    <row r="8" spans="1:10" ht="14.4" x14ac:dyDescent="0.3">
      <c r="A8" s="18"/>
      <c r="B8" s="12"/>
      <c r="C8" s="90" t="str">
        <f>IF(Projektname_Z3=0,"",Projektname_Z3)</f>
        <v/>
      </c>
      <c r="D8" s="91"/>
      <c r="E8" s="91"/>
      <c r="F8" s="91"/>
      <c r="G8" s="91"/>
      <c r="H8" s="92"/>
    </row>
    <row r="9" spans="1:10" ht="14.4" x14ac:dyDescent="0.3">
      <c r="A9" s="18"/>
      <c r="B9" s="77" t="s">
        <v>32</v>
      </c>
      <c r="C9" s="93" t="str">
        <f>IF(Unternehmen=0,"",Unternehmen)</f>
        <v>Landratsamt Bärstedt</v>
      </c>
      <c r="D9" s="94"/>
      <c r="E9" s="94"/>
      <c r="F9" s="94"/>
      <c r="G9" s="94"/>
      <c r="H9" s="95"/>
    </row>
    <row r="10" spans="1:10" ht="14.4" x14ac:dyDescent="0.3">
      <c r="A10" s="18"/>
      <c r="B10" s="12" t="s">
        <v>34</v>
      </c>
      <c r="C10" s="93" t="str">
        <f>IF(Zustaendig=0,"",Zustaendig)</f>
        <v>Erika Musterfrau</v>
      </c>
      <c r="D10" s="94"/>
      <c r="E10" s="94"/>
      <c r="F10" s="94"/>
      <c r="G10" s="94"/>
      <c r="H10" s="95"/>
    </row>
    <row r="11" spans="1:10" ht="14.4" x14ac:dyDescent="0.3">
      <c r="A11" s="18"/>
      <c r="B11" s="12" t="s">
        <v>36</v>
      </c>
      <c r="C11" s="376">
        <f>IF(Datum=0,"",Datum)</f>
        <v>45160</v>
      </c>
      <c r="D11" s="377"/>
      <c r="E11" s="82"/>
      <c r="F11" s="84"/>
      <c r="G11" s="84"/>
      <c r="H11" s="81"/>
    </row>
    <row r="12" spans="1:10" ht="14.4" x14ac:dyDescent="0.3">
      <c r="A12" s="18"/>
      <c r="B12" s="12"/>
      <c r="C12" s="79"/>
      <c r="E12" s="60" t="s">
        <v>39</v>
      </c>
      <c r="F12" s="96">
        <f>Fahrleistung</f>
        <v>20000</v>
      </c>
      <c r="G12" s="97" t="s">
        <v>40</v>
      </c>
      <c r="H12" s="83"/>
    </row>
    <row r="13" spans="1:10" ht="14.4" x14ac:dyDescent="0.3">
      <c r="A13" s="18"/>
      <c r="B13" s="60"/>
      <c r="C13" s="80"/>
      <c r="E13" s="76" t="s">
        <v>43</v>
      </c>
      <c r="F13" s="98">
        <f>Haltedauer</f>
        <v>7</v>
      </c>
      <c r="G13" s="97" t="s">
        <v>44</v>
      </c>
      <c r="H13" s="83"/>
    </row>
    <row r="14" spans="1:10" x14ac:dyDescent="0.25">
      <c r="A14" s="18"/>
      <c r="B14" s="18"/>
      <c r="C14" s="18"/>
      <c r="D14" s="19"/>
      <c r="E14" s="19"/>
      <c r="F14" s="19"/>
      <c r="G14" s="19"/>
      <c r="H14" s="19"/>
    </row>
    <row r="15" spans="1:10" x14ac:dyDescent="0.25">
      <c r="A15" s="18"/>
      <c r="B15" s="21" t="s">
        <v>119</v>
      </c>
      <c r="C15" s="22"/>
      <c r="D15" s="22"/>
      <c r="E15" s="22"/>
      <c r="F15" s="22"/>
      <c r="G15" s="22"/>
      <c r="H15" s="23"/>
    </row>
    <row r="16" spans="1:10" x14ac:dyDescent="0.25">
      <c r="A16" s="18"/>
      <c r="B16" s="39" t="s">
        <v>60</v>
      </c>
      <c r="C16" s="25"/>
      <c r="D16" s="26">
        <v>1</v>
      </c>
      <c r="E16" s="26">
        <v>2</v>
      </c>
      <c r="F16" s="26">
        <v>3</v>
      </c>
      <c r="G16" s="26">
        <v>4</v>
      </c>
      <c r="H16" s="27">
        <v>5</v>
      </c>
    </row>
    <row r="17" spans="1:9" ht="54.6" customHeight="1" x14ac:dyDescent="0.25">
      <c r="A17" s="18"/>
      <c r="B17" s="40"/>
      <c r="C17" s="41"/>
      <c r="D17" s="163" t="str">
        <f>CONCATENATE(Erg.Pkw_1!$C$10," ",Erg.Pkw_1!$C$11," ",Erg.Pkw_1!$C$13," ",Erg.Pkw_1!$C$14)</f>
        <v>VW ID.3 Vollelektrisch (BEV) Strom</v>
      </c>
      <c r="E17" s="163" t="str">
        <f>CONCATENATE(Erg.Pkw_2!$C$10," ",Erg.Pkw_2!$C$11," ",Erg.Pkw_2!$C$13," ",Erg.Pkw_2!$C$14)</f>
        <v>VW Golf 2.0 TDI Verbrenner Diesel</v>
      </c>
      <c r="F17" s="163" t="str">
        <f>CONCATENATE(Erg.Pkw_3!$C$10," ",Erg.Pkw_3!$C$11," ",Erg.Pkw_3!$C$13," ",Erg.Pkw_3!$C$14)</f>
        <v>Opel Astra 1.5 Diesel Verbrenner Diesel</v>
      </c>
      <c r="G17" s="163" t="str">
        <f>CONCATENATE(Erg.Pkw_4!$C$10," ",Erg.Pkw_4!$C$11," ",Erg.Pkw_4!$C$13," ",Erg.Pkw_4!$C$14)</f>
        <v>Kia Niro 1.6 GDI Plug-in-Hybrid (PHEV) Benzin</v>
      </c>
      <c r="H17" s="164" t="str">
        <f>CONCATENATE(Erg.Pkw_5!$C$10," ",Erg.Pkw_5!$C$11," ",Erg.Pkw_5!$C$13," ",Erg.Pkw_5!$C$14)</f>
        <v>Renault Mégane E-TECH Plug-in-Hybrid (PHEV) Benzin</v>
      </c>
    </row>
    <row r="18" spans="1:9" x14ac:dyDescent="0.25">
      <c r="A18" s="378" t="s">
        <v>17</v>
      </c>
      <c r="B18" s="29" t="s">
        <v>132</v>
      </c>
      <c r="C18" s="30" t="s">
        <v>96</v>
      </c>
      <c r="D18" s="45">
        <f>Erg.Pkw_1!$C$57-D19</f>
        <v>0</v>
      </c>
      <c r="E18" s="45">
        <f>Erg.Pkw_2!$C$57-E19</f>
        <v>8190</v>
      </c>
      <c r="F18" s="45">
        <f>Erg.Pkw_3!$C$57-F19</f>
        <v>7910.0000000000009</v>
      </c>
      <c r="G18" s="45">
        <f>Erg.Pkw_4!$C$57-G19</f>
        <v>4828.0874552688338</v>
      </c>
      <c r="H18" s="46">
        <f>Erg.Pkw_5!$C$57-H19</f>
        <v>4139.7562185872612</v>
      </c>
    </row>
    <row r="19" spans="1:9" x14ac:dyDescent="0.25">
      <c r="A19" s="378"/>
      <c r="B19" s="29" t="s">
        <v>133</v>
      </c>
      <c r="C19" s="30" t="s">
        <v>96</v>
      </c>
      <c r="D19" s="45">
        <f>(Erg.Pkw_1!$C$35+Erg.Pkw_1!$C$36)*Haltedauer</f>
        <v>0</v>
      </c>
      <c r="E19" s="45">
        <f>(Erg.Pkw_2!$C$35+Erg.Pkw_2!$C$36)*Haltedauer</f>
        <v>109.47999999999999</v>
      </c>
      <c r="F19" s="45">
        <f>(Erg.Pkw_3!$C$35+Erg.Pkw_3!$C$36)*Haltedauer</f>
        <v>155.04999999999998</v>
      </c>
      <c r="G19" s="45">
        <f>(Erg.Pkw_4!$C$35+Erg.Pkw_4!$C$36)*Haltedauer</f>
        <v>50.330000000000005</v>
      </c>
      <c r="H19" s="46">
        <f>(Erg.Pkw_5!$C$35+Erg.Pkw_5!$C$36)*Haltedauer</f>
        <v>29.68</v>
      </c>
    </row>
    <row r="20" spans="1:9" ht="14.4" customHeight="1" x14ac:dyDescent="0.25">
      <c r="A20" s="378"/>
      <c r="B20" s="29" t="s">
        <v>123</v>
      </c>
      <c r="C20" s="30" t="s">
        <v>96</v>
      </c>
      <c r="D20" s="45">
        <f ca="1">Erg.Pkw_1!C41*Haltedauer</f>
        <v>3658.7129599999989</v>
      </c>
      <c r="E20" s="45">
        <f>Erg.Pkw_2!C41*Haltedauer</f>
        <v>1785.34944</v>
      </c>
      <c r="F20" s="45">
        <f>Erg.Pkw_3!C41*Haltedauer</f>
        <v>1706.0005760000001</v>
      </c>
      <c r="G20" s="45">
        <f ca="1">Erg.Pkw_4!C41*Haltedauer</f>
        <v>2313.8745061867435</v>
      </c>
      <c r="H20" s="46">
        <f ca="1">Erg.Pkw_5!C41*Haltedauer</f>
        <v>2425.2141239462831</v>
      </c>
      <c r="I20" s="119"/>
    </row>
    <row r="21" spans="1:9" x14ac:dyDescent="0.25">
      <c r="A21" s="378"/>
      <c r="B21" s="31" t="s">
        <v>124</v>
      </c>
      <c r="C21" s="48" t="s">
        <v>96</v>
      </c>
      <c r="D21" s="49">
        <f>Erg.Pkw_1!$C$59</f>
        <v>1657.0909090909088</v>
      </c>
      <c r="E21" s="49">
        <f>Erg.Pkw_2!$C$59</f>
        <v>0</v>
      </c>
      <c r="F21" s="49">
        <f>Erg.Pkw_3!$C$59</f>
        <v>0</v>
      </c>
      <c r="G21" s="49">
        <f>Erg.Pkw_4!$C$59</f>
        <v>320.72727272727275</v>
      </c>
      <c r="H21" s="50">
        <f>Erg.Pkw_5!$C$59</f>
        <v>261.92727272727268</v>
      </c>
    </row>
    <row r="22" spans="1:9" ht="14.4" thickBot="1" x14ac:dyDescent="0.3">
      <c r="A22" s="18"/>
      <c r="B22" s="51" t="s">
        <v>125</v>
      </c>
      <c r="C22" s="52" t="s">
        <v>96</v>
      </c>
      <c r="D22" s="53">
        <f ca="1">IF(SUM(D18:D21)=0,"",SUM(D18:D21))</f>
        <v>5315.8038690909079</v>
      </c>
      <c r="E22" s="53">
        <f t="shared" ref="E22:H22" si="0">IF(SUM(E18:E21)=0,"",SUM(E18:E21))</f>
        <v>10084.82944</v>
      </c>
      <c r="F22" s="53">
        <f t="shared" si="0"/>
        <v>9771.0505760000015</v>
      </c>
      <c r="G22" s="53">
        <f t="shared" ca="1" si="0"/>
        <v>7513.0192341828506</v>
      </c>
      <c r="H22" s="54">
        <f t="shared" ca="1" si="0"/>
        <v>6856.5776152608178</v>
      </c>
    </row>
    <row r="23" spans="1:9" ht="15" thickTop="1" thickBot="1" x14ac:dyDescent="0.3">
      <c r="A23" s="18"/>
      <c r="B23" s="78" t="s">
        <v>126</v>
      </c>
      <c r="C23" s="52"/>
      <c r="D23" s="53">
        <f ca="1">IFERROR(_xlfn.RANK.EQ(D22,$D$22:$H$22,1),"")</f>
        <v>1</v>
      </c>
      <c r="E23" s="53">
        <f t="shared" ref="E23:H23" ca="1" si="1">IFERROR(_xlfn.RANK.EQ(E22,$D$22:$H$22,1),"")</f>
        <v>5</v>
      </c>
      <c r="F23" s="53">
        <f t="shared" ca="1" si="1"/>
        <v>4</v>
      </c>
      <c r="G23" s="53">
        <f t="shared" ca="1" si="1"/>
        <v>3</v>
      </c>
      <c r="H23" s="54">
        <f t="shared" ca="1" si="1"/>
        <v>2</v>
      </c>
      <c r="I23" s="119"/>
    </row>
    <row r="24" spans="1:9" ht="20.399999999999999" customHeight="1" thickTop="1" x14ac:dyDescent="0.25">
      <c r="A24" s="18"/>
      <c r="B24" s="120" t="s">
        <v>127</v>
      </c>
      <c r="C24" s="69" t="s">
        <v>112</v>
      </c>
      <c r="D24" s="262">
        <f ca="1">IF(AND(COUNTIF(D18:D21,0)&gt;0,Antriebsart1="Plug-In-Hybrid (PHEV)"),1,IF(AND(COUNTIF(D18:D21,0)&gt;1,Antriebsart1="Verbrenner"),1,IF(AND(COUNTIF(D18:D21,0)&gt;2,Antriebsart1&lt;&gt;""),1,0)))</f>
        <v>0</v>
      </c>
      <c r="E24" s="262">
        <f>IF(AND(COUNTIF(E18:E21,0)&gt;0,Antriebsart2="Plug-In-Hybrid (PHEV)"),1,IF(AND(COUNTIF(E18:E21,0)&gt;1,Antriebsart2="Verbrenner"),1,IF(AND(COUNTIF(E18:E21,0)&gt;2,Antriebsart2&lt;&gt;""),1,0)))</f>
        <v>0</v>
      </c>
      <c r="F24" s="262">
        <f>IF(AND(COUNTIF(F18:F21,0)&gt;0,Antriebsart3="Plug-In-Hybrid (PHEV)"),1,IF(AND(COUNTIF(F18:F21,0)&gt;1,Antriebsart3="Verbrenner"),1,IF(AND(COUNTIF(F18:F21,0)&gt;2,Antriebsart3&lt;&gt;""),1,0)))</f>
        <v>0</v>
      </c>
      <c r="G24" s="262">
        <f ca="1">IF(AND(COUNTIF(G18:G21,0)&gt;0,Antriebsart4="Plug-In-Hybrid (PHEV)"),1,IF(AND(COUNTIF(G18:G21,0)&gt;1,Antriebsart4="Verbrenner"),1,IF(AND(COUNTIF(G18:G21,0)&gt;2,Antriebsart4&lt;&gt;""),1,0)))</f>
        <v>0</v>
      </c>
      <c r="H24" s="263">
        <f ca="1">IF(AND(COUNTIF(H18:H21,0)&gt;0,Antriebsart5="Plug-In-Hybrid (PHEV)"),1,IF(AND(COUNTIF(H18:H21,0)&gt;1,Antriebsart5="Verbrenner"),1,IF(AND(COUNTIF(H18:H21,0)&gt;2,Antriebsart5&lt;&gt;""),1,0)))</f>
        <v>0</v>
      </c>
      <c r="I24" s="264">
        <f ca="1">SUM(D24:H24)+Eingabe_Angebotswerte!J23</f>
        <v>0</v>
      </c>
    </row>
    <row r="25" spans="1:9" ht="25.95" customHeight="1" x14ac:dyDescent="0.25">
      <c r="A25" s="35"/>
      <c r="B25" s="36" t="s">
        <v>128</v>
      </c>
      <c r="C25" s="33" t="s">
        <v>129</v>
      </c>
      <c r="D25" s="34">
        <f>Erg.Pkw_1!$C$62</f>
        <v>3.3141818181818179</v>
      </c>
      <c r="E25" s="34">
        <f>Erg.Pkw_2!$C$62</f>
        <v>0</v>
      </c>
      <c r="F25" s="34">
        <f>Erg.Pkw_3!$C$62</f>
        <v>0</v>
      </c>
      <c r="G25" s="34">
        <f>Erg.Pkw_4!$C$62</f>
        <v>0.6414545454545455</v>
      </c>
      <c r="H25" s="55">
        <f>Erg.Pkw_5!$C$62</f>
        <v>0.52385454545454546</v>
      </c>
    </row>
    <row r="26" spans="1:9" ht="27" customHeight="1" x14ac:dyDescent="0.25">
      <c r="A26" s="35"/>
      <c r="B26" s="109" t="s">
        <v>130</v>
      </c>
      <c r="C26" s="110" t="s">
        <v>129</v>
      </c>
      <c r="D26" s="37">
        <f ca="1">Erg.Pkw_1!$C$63</f>
        <v>7.3174259199999989</v>
      </c>
      <c r="E26" s="37">
        <f>Erg.Pkw_2!$C$63</f>
        <v>19.950698879999997</v>
      </c>
      <c r="F26" s="37">
        <f>Erg.Pkw_3!$C$63</f>
        <v>19.232001151999999</v>
      </c>
      <c r="G26" s="37">
        <f ca="1">Erg.Pkw_4!$C$63</f>
        <v>14.283923922911153</v>
      </c>
      <c r="H26" s="38">
        <f ca="1">Erg.Pkw_5!$C$63</f>
        <v>13.129940685067089</v>
      </c>
      <c r="I26" s="102"/>
    </row>
    <row r="28" spans="1:9" x14ac:dyDescent="0.25">
      <c r="B28" s="21" t="s">
        <v>134</v>
      </c>
      <c r="C28" s="22"/>
      <c r="D28" s="22"/>
      <c r="E28" s="22"/>
      <c r="F28" s="22"/>
      <c r="G28" s="22"/>
      <c r="H28" s="23"/>
    </row>
    <row r="29" spans="1:9" ht="363.6" customHeight="1" x14ac:dyDescent="0.25">
      <c r="B29" s="6"/>
      <c r="D29" s="10"/>
      <c r="E29" s="10"/>
      <c r="F29" s="10"/>
      <c r="G29" s="10"/>
      <c r="H29" s="112"/>
      <c r="I29" s="121"/>
    </row>
    <row r="30" spans="1:9" ht="15" customHeight="1" x14ac:dyDescent="0.25">
      <c r="B30" s="132">
        <f ca="1">D23</f>
        <v>1</v>
      </c>
      <c r="C30" s="133">
        <f ca="1">E23</f>
        <v>5</v>
      </c>
      <c r="D30" s="135">
        <f ca="1">F23</f>
        <v>4</v>
      </c>
      <c r="E30" s="135"/>
      <c r="F30" s="134">
        <f ca="1">G23</f>
        <v>3</v>
      </c>
      <c r="G30" s="135">
        <f ca="1">H23</f>
        <v>2</v>
      </c>
      <c r="H30" s="113"/>
      <c r="I30" s="119"/>
    </row>
    <row r="31" spans="1:9" x14ac:dyDescent="0.25">
      <c r="D31" s="10"/>
      <c r="E31" s="10"/>
      <c r="F31" s="10"/>
      <c r="G31" s="10"/>
      <c r="H31" s="10"/>
      <c r="I31" s="119"/>
    </row>
    <row r="32" spans="1:9" x14ac:dyDescent="0.25">
      <c r="B32" s="119"/>
    </row>
  </sheetData>
  <sheetProtection sheet="1" objects="1" scenarios="1"/>
  <mergeCells count="2">
    <mergeCell ref="C11:D11"/>
    <mergeCell ref="A18:A21"/>
  </mergeCells>
  <conditionalFormatting sqref="D17:H17">
    <cfRule type="cellIs" dxfId="26" priority="20" operator="equal">
      <formula>0</formula>
    </cfRule>
  </conditionalFormatting>
  <conditionalFormatting sqref="D23:H23">
    <cfRule type="colorScale" priority="18">
      <colorScale>
        <cfvo type="min"/>
        <cfvo type="percent" val="20"/>
        <cfvo type="max"/>
        <color rgb="FF63BE7B"/>
        <color rgb="FFFFEB84"/>
        <color rgb="FFF8696B"/>
      </colorScale>
    </cfRule>
  </conditionalFormatting>
  <conditionalFormatting sqref="C2:G2">
    <cfRule type="expression" dxfId="25" priority="11">
      <formula>$I$24=0</formula>
    </cfRule>
  </conditionalFormatting>
  <conditionalFormatting sqref="B30:D30 F30:G30">
    <cfRule type="top10" dxfId="24" priority="6" percent="1" bottom="1" rank="10"/>
    <cfRule type="top10" dxfId="23" priority="7" percent="1" rank="10"/>
    <cfRule type="aboveAverage" dxfId="22" priority="8"/>
    <cfRule type="aboveAverage" dxfId="21" priority="9" aboveAverage="0"/>
    <cfRule type="aboveAverage" dxfId="20" priority="10" equalAverage="1"/>
  </conditionalFormatting>
  <conditionalFormatting sqref="E30">
    <cfRule type="top10" dxfId="19" priority="1" percent="1" bottom="1" rank="10"/>
    <cfRule type="top10" dxfId="18" priority="2" percent="1" rank="10"/>
    <cfRule type="aboveAverage" dxfId="17" priority="3"/>
    <cfRule type="aboveAverage" dxfId="16" priority="4" aboveAverage="0"/>
    <cfRule type="aboveAverage" dxfId="15" priority="5" equalAverage="1"/>
  </conditionalFormatting>
  <hyperlinks>
    <hyperlink ref="J2" location="Anleitung!A1" display="zurück zu &quot;Anleitung&quot;" xr:uid="{00000000-0004-0000-0400-000000000000}"/>
  </hyperlinks>
  <pageMargins left="0.43307086614173229" right="0.23622047244094491" top="0.74803149606299213" bottom="0.74803149606299213" header="0.31496062992125984" footer="0.31496062992125984"/>
  <pageSetup paperSize="9" scale="84"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I44"/>
  <sheetViews>
    <sheetView showGridLines="0" zoomScaleNormal="100" workbookViewId="0"/>
  </sheetViews>
  <sheetFormatPr baseColWidth="10" defaultColWidth="11.5546875" defaultRowHeight="13.8" x14ac:dyDescent="0.25"/>
  <cols>
    <col min="1" max="1" width="5" style="1" customWidth="1"/>
    <col min="2" max="2" width="29.6640625" style="1" customWidth="1"/>
    <col min="3" max="3" width="28.33203125" style="1" bestFit="1" customWidth="1"/>
    <col min="4" max="4" width="13.5546875" style="1" customWidth="1"/>
    <col min="5" max="5" width="13.88671875" style="1" customWidth="1"/>
    <col min="6" max="6" width="14.6640625" style="1" customWidth="1"/>
    <col min="7" max="7" width="10.6640625" style="10" hidden="1" customWidth="1"/>
    <col min="8" max="8" width="19.33203125" style="1" customWidth="1"/>
    <col min="9" max="9" width="12.88671875" style="1" customWidth="1"/>
    <col min="10" max="16384" width="11.5546875" style="1"/>
  </cols>
  <sheetData>
    <row r="1" spans="1:9" ht="14.4" x14ac:dyDescent="0.25">
      <c r="G1" s="108" t="s">
        <v>17</v>
      </c>
    </row>
    <row r="2" spans="1:9" x14ac:dyDescent="0.25">
      <c r="A2" s="131"/>
      <c r="B2" s="205" t="s">
        <v>135</v>
      </c>
      <c r="C2" s="131"/>
      <c r="D2" s="131"/>
      <c r="E2" s="131"/>
      <c r="F2" s="131"/>
      <c r="G2" s="206"/>
      <c r="H2" s="131"/>
      <c r="I2" s="118" t="s">
        <v>28</v>
      </c>
    </row>
    <row r="3" spans="1:9" x14ac:dyDescent="0.25">
      <c r="A3" s="131"/>
      <c r="B3" s="131"/>
      <c r="C3" s="131"/>
      <c r="D3" s="131"/>
      <c r="E3" s="131"/>
      <c r="F3" s="131"/>
      <c r="G3" s="206"/>
      <c r="H3" s="131"/>
    </row>
    <row r="4" spans="1:9" x14ac:dyDescent="0.25">
      <c r="A4" s="131"/>
      <c r="B4" s="169" t="s">
        <v>136</v>
      </c>
      <c r="C4" s="5"/>
      <c r="D4" s="5"/>
      <c r="E4" s="5"/>
      <c r="F4" s="5"/>
      <c r="G4" s="206"/>
      <c r="H4" s="131"/>
    </row>
    <row r="5" spans="1:9" x14ac:dyDescent="0.25">
      <c r="A5" s="207"/>
      <c r="B5" s="227"/>
      <c r="C5" s="245"/>
      <c r="D5" s="245"/>
      <c r="E5" s="245"/>
      <c r="F5" s="245"/>
      <c r="G5" s="206"/>
      <c r="H5" s="131"/>
    </row>
    <row r="6" spans="1:9" ht="27.6" x14ac:dyDescent="0.25">
      <c r="A6" s="207"/>
      <c r="B6" s="246" t="s">
        <v>137</v>
      </c>
      <c r="C6" s="247" t="s">
        <v>61</v>
      </c>
      <c r="D6" s="248" t="s">
        <v>138</v>
      </c>
      <c r="E6" s="256" t="s">
        <v>139</v>
      </c>
      <c r="F6" s="255" t="s">
        <v>140</v>
      </c>
      <c r="G6" s="208" t="s">
        <v>141</v>
      </c>
      <c r="H6" s="131"/>
    </row>
    <row r="7" spans="1:9" ht="13.95" customHeight="1" x14ac:dyDescent="0.25">
      <c r="A7" s="207"/>
      <c r="B7" s="379" t="s">
        <v>142</v>
      </c>
      <c r="C7" s="249" t="s">
        <v>63</v>
      </c>
      <c r="D7" s="250">
        <v>120</v>
      </c>
      <c r="E7" s="306"/>
      <c r="F7" s="249" t="s">
        <v>103</v>
      </c>
      <c r="G7" s="209">
        <f>IF(ISNUMBER(E7),E7,D7)</f>
        <v>120</v>
      </c>
      <c r="H7" s="131"/>
    </row>
    <row r="8" spans="1:9" x14ac:dyDescent="0.25">
      <c r="A8" s="207"/>
      <c r="B8" s="380"/>
      <c r="C8" s="249" t="s">
        <v>143</v>
      </c>
      <c r="D8" s="250">
        <v>130</v>
      </c>
      <c r="E8" s="306"/>
      <c r="F8" s="249" t="s">
        <v>103</v>
      </c>
      <c r="G8" s="209">
        <f t="shared" ref="G8:G13" si="0">IF(ISNUMBER(E8),E8,D8)</f>
        <v>130</v>
      </c>
      <c r="H8" s="131"/>
    </row>
    <row r="9" spans="1:9" x14ac:dyDescent="0.25">
      <c r="A9" s="207"/>
      <c r="B9" s="381"/>
      <c r="C9" s="249" t="s">
        <v>144</v>
      </c>
      <c r="D9" s="250">
        <v>40</v>
      </c>
      <c r="E9" s="306"/>
      <c r="F9" s="249" t="s">
        <v>103</v>
      </c>
      <c r="G9" s="209">
        <f t="shared" si="0"/>
        <v>40</v>
      </c>
      <c r="H9" s="131"/>
    </row>
    <row r="10" spans="1:9" ht="16.2" x14ac:dyDescent="0.25">
      <c r="A10" s="207"/>
      <c r="B10" s="251" t="s">
        <v>145</v>
      </c>
      <c r="C10" s="249" t="s">
        <v>146</v>
      </c>
      <c r="D10" s="250">
        <v>64</v>
      </c>
      <c r="E10" s="306"/>
      <c r="F10" s="249" t="s">
        <v>105</v>
      </c>
      <c r="G10" s="209">
        <f t="shared" si="0"/>
        <v>64</v>
      </c>
      <c r="H10" s="131"/>
    </row>
    <row r="11" spans="1:9" x14ac:dyDescent="0.25">
      <c r="A11" s="207"/>
      <c r="B11" s="251" t="s">
        <v>147</v>
      </c>
      <c r="C11" s="249" t="s">
        <v>146</v>
      </c>
      <c r="D11" s="250">
        <v>3.6</v>
      </c>
      <c r="E11" s="306"/>
      <c r="F11" s="249" t="s">
        <v>105</v>
      </c>
      <c r="G11" s="209">
        <f t="shared" si="0"/>
        <v>3.6</v>
      </c>
      <c r="H11" s="131"/>
    </row>
    <row r="12" spans="1:9" x14ac:dyDescent="0.25">
      <c r="A12" s="207"/>
      <c r="B12" s="379" t="s">
        <v>148</v>
      </c>
      <c r="C12" s="249" t="s">
        <v>149</v>
      </c>
      <c r="D12" s="250">
        <v>19</v>
      </c>
      <c r="E12" s="306"/>
      <c r="F12" s="249" t="s">
        <v>150</v>
      </c>
      <c r="G12" s="209">
        <f t="shared" si="0"/>
        <v>19</v>
      </c>
      <c r="H12" s="131"/>
    </row>
    <row r="13" spans="1:9" x14ac:dyDescent="0.25">
      <c r="A13" s="207"/>
      <c r="B13" s="381"/>
      <c r="C13" s="249" t="s">
        <v>151</v>
      </c>
      <c r="D13" s="250">
        <v>21</v>
      </c>
      <c r="E13" s="306"/>
      <c r="F13" s="249" t="s">
        <v>150</v>
      </c>
      <c r="G13" s="209">
        <f t="shared" si="0"/>
        <v>21</v>
      </c>
      <c r="H13" s="131"/>
    </row>
    <row r="14" spans="1:9" s="8" customFormat="1" ht="27.6" x14ac:dyDescent="0.25">
      <c r="A14" s="244"/>
      <c r="B14" s="253" t="s">
        <v>152</v>
      </c>
      <c r="C14" s="254" t="s">
        <v>144</v>
      </c>
      <c r="D14" s="252">
        <v>60</v>
      </c>
      <c r="E14" s="307"/>
      <c r="F14" s="254" t="s">
        <v>108</v>
      </c>
      <c r="G14" s="209">
        <f>IF(ISNUMBER(E14),E14,D14)</f>
        <v>60</v>
      </c>
      <c r="H14" s="210"/>
    </row>
    <row r="15" spans="1:9" x14ac:dyDescent="0.25">
      <c r="A15" s="131"/>
      <c r="B15" s="131"/>
      <c r="C15" s="131"/>
      <c r="D15" s="131"/>
      <c r="E15" s="131"/>
      <c r="F15" s="131"/>
      <c r="G15" s="206"/>
      <c r="H15" s="131"/>
    </row>
    <row r="16" spans="1:9" x14ac:dyDescent="0.25">
      <c r="A16" s="131"/>
      <c r="B16" s="131"/>
      <c r="C16" s="131"/>
      <c r="D16" s="131"/>
      <c r="E16" s="131"/>
      <c r="F16" s="131"/>
      <c r="G16" s="206"/>
      <c r="H16" s="131"/>
    </row>
    <row r="18" spans="1:9" x14ac:dyDescent="0.25">
      <c r="A18" s="212"/>
      <c r="B18" s="211" t="s">
        <v>153</v>
      </c>
      <c r="C18" s="211"/>
      <c r="D18" s="212" t="s">
        <v>154</v>
      </c>
      <c r="E18" s="212"/>
      <c r="F18" s="212"/>
      <c r="G18" s="213"/>
      <c r="H18" s="213"/>
      <c r="I18" s="213"/>
    </row>
    <row r="19" spans="1:9" x14ac:dyDescent="0.25">
      <c r="A19" s="212"/>
      <c r="B19" s="212"/>
      <c r="C19" s="212"/>
      <c r="D19" s="212"/>
      <c r="E19" s="212"/>
      <c r="F19" s="212"/>
      <c r="H19" s="213"/>
      <c r="I19" s="213"/>
    </row>
    <row r="20" spans="1:9" x14ac:dyDescent="0.25">
      <c r="A20" s="215"/>
      <c r="B20" s="3" t="s">
        <v>155</v>
      </c>
      <c r="C20" s="3"/>
      <c r="D20" s="4"/>
      <c r="E20" s="4"/>
      <c r="F20" s="4"/>
      <c r="H20" s="214"/>
      <c r="I20" s="214"/>
    </row>
    <row r="21" spans="1:9" x14ac:dyDescent="0.25">
      <c r="A21" s="215"/>
      <c r="D21" s="6"/>
      <c r="F21" s="227"/>
      <c r="H21" s="214"/>
      <c r="I21" s="214"/>
    </row>
    <row r="22" spans="1:9" x14ac:dyDescent="0.25">
      <c r="A22" s="215"/>
      <c r="B22" s="1" t="s">
        <v>65</v>
      </c>
      <c r="D22" s="228" t="s">
        <v>156</v>
      </c>
      <c r="E22" s="2"/>
      <c r="F22" s="229"/>
      <c r="H22" s="214"/>
      <c r="I22" s="214"/>
    </row>
    <row r="23" spans="1:9" ht="27.6" x14ac:dyDescent="0.25">
      <c r="A23" s="215"/>
      <c r="D23" s="230"/>
      <c r="E23" s="231" t="s">
        <v>139</v>
      </c>
      <c r="F23" s="232" t="s">
        <v>140</v>
      </c>
      <c r="G23" s="233" t="s">
        <v>157</v>
      </c>
      <c r="H23" s="217" t="s">
        <v>158</v>
      </c>
      <c r="I23" s="286" t="s">
        <v>159</v>
      </c>
    </row>
    <row r="24" spans="1:9" ht="14.4" x14ac:dyDescent="0.3">
      <c r="A24" s="223"/>
      <c r="B24" s="234" t="s">
        <v>160</v>
      </c>
      <c r="C24" s="235"/>
      <c r="D24" s="236">
        <v>46.3</v>
      </c>
      <c r="E24" s="274"/>
      <c r="F24" s="9" t="s">
        <v>161</v>
      </c>
      <c r="G24" s="233">
        <f>IF(ISNUMBER(E24),E24,D24)/100</f>
        <v>0.46299999999999997</v>
      </c>
      <c r="H24" s="218" t="s">
        <v>162</v>
      </c>
      <c r="I24" s="285"/>
    </row>
    <row r="25" spans="1:9" ht="14.4" x14ac:dyDescent="0.3">
      <c r="A25" s="223"/>
      <c r="B25" s="237" t="s">
        <v>163</v>
      </c>
      <c r="C25" s="232"/>
      <c r="D25" s="236">
        <v>55.2</v>
      </c>
      <c r="E25" s="274"/>
      <c r="F25" s="9" t="s">
        <v>161</v>
      </c>
      <c r="G25" s="233">
        <f>IF(ISNUMBER(E25),E25,D25)/100</f>
        <v>0.55200000000000005</v>
      </c>
      <c r="H25" s="218" t="s">
        <v>164</v>
      </c>
      <c r="I25" s="285"/>
    </row>
    <row r="26" spans="1:9" ht="14.4" hidden="1" x14ac:dyDescent="0.25">
      <c r="A26" s="224"/>
      <c r="B26" s="238" t="s">
        <v>66</v>
      </c>
      <c r="C26" s="8"/>
      <c r="D26" s="239"/>
      <c r="E26" s="308"/>
      <c r="G26" s="233">
        <f>G24*Input_Projekt!J29/100+G25*(1-Input_Projekt!J29/100)</f>
        <v>0.50750000000000006</v>
      </c>
      <c r="H26" s="218"/>
      <c r="I26" s="285"/>
    </row>
    <row r="27" spans="1:9" x14ac:dyDescent="0.25">
      <c r="A27" s="382"/>
      <c r="B27" s="234" t="s">
        <v>67</v>
      </c>
      <c r="C27" s="235"/>
      <c r="D27" s="305">
        <v>1.659</v>
      </c>
      <c r="E27" s="274"/>
      <c r="F27" s="9" t="s">
        <v>165</v>
      </c>
      <c r="G27" s="233">
        <f t="shared" ref="G27:G29" si="1">IF(ISNUMBER(E27),E27,D27)</f>
        <v>1.659</v>
      </c>
      <c r="H27" s="218" t="s">
        <v>166</v>
      </c>
      <c r="I27" s="285"/>
    </row>
    <row r="28" spans="1:9" x14ac:dyDescent="0.25">
      <c r="A28" s="382"/>
      <c r="B28" s="234" t="s">
        <v>68</v>
      </c>
      <c r="C28" s="235"/>
      <c r="D28" s="305">
        <v>1.784</v>
      </c>
      <c r="E28" s="274"/>
      <c r="F28" s="9" t="s">
        <v>165</v>
      </c>
      <c r="G28" s="233">
        <f t="shared" si="1"/>
        <v>1.784</v>
      </c>
      <c r="H28" s="218" t="s">
        <v>166</v>
      </c>
      <c r="I28" s="285"/>
    </row>
    <row r="29" spans="1:9" ht="14.4" x14ac:dyDescent="0.25">
      <c r="A29" s="224"/>
      <c r="B29" s="234" t="s">
        <v>167</v>
      </c>
      <c r="C29" s="235"/>
      <c r="D29" s="240">
        <v>1.2</v>
      </c>
      <c r="E29" s="274"/>
      <c r="F29" s="9" t="s">
        <v>168</v>
      </c>
      <c r="G29" s="233">
        <f t="shared" si="1"/>
        <v>1.2</v>
      </c>
      <c r="H29" s="218" t="s">
        <v>169</v>
      </c>
      <c r="I29" s="285"/>
    </row>
    <row r="30" spans="1:9" ht="14.4" x14ac:dyDescent="0.25">
      <c r="A30" s="225"/>
      <c r="B30" s="212"/>
      <c r="C30" s="212"/>
      <c r="D30" s="213"/>
      <c r="E30" s="219"/>
      <c r="F30" s="212"/>
      <c r="G30" s="216"/>
      <c r="H30" s="213"/>
      <c r="I30" s="213"/>
    </row>
    <row r="31" spans="1:9" x14ac:dyDescent="0.25">
      <c r="A31" s="212"/>
      <c r="B31" s="212"/>
      <c r="C31" s="212"/>
      <c r="D31" s="213"/>
      <c r="E31" s="213"/>
      <c r="F31" s="212"/>
      <c r="G31" s="213"/>
      <c r="H31" s="213"/>
      <c r="I31" s="213"/>
    </row>
    <row r="32" spans="1:9" x14ac:dyDescent="0.25">
      <c r="A32" s="212"/>
      <c r="B32" s="3" t="s">
        <v>170</v>
      </c>
      <c r="C32" s="3"/>
      <c r="D32" s="4"/>
      <c r="E32" s="4"/>
      <c r="F32" s="4"/>
      <c r="G32" s="241"/>
      <c r="H32" s="220"/>
      <c r="I32" s="220"/>
    </row>
    <row r="33" spans="1:9" ht="13.95" customHeight="1" x14ac:dyDescent="0.25">
      <c r="A33" s="212"/>
      <c r="B33" s="383" t="s">
        <v>171</v>
      </c>
      <c r="C33" s="383"/>
      <c r="D33" s="383"/>
      <c r="E33" s="383"/>
      <c r="F33" s="383"/>
      <c r="G33" s="233" t="s">
        <v>157</v>
      </c>
      <c r="H33" s="221"/>
      <c r="I33" s="221"/>
    </row>
    <row r="34" spans="1:9" ht="27.6" x14ac:dyDescent="0.25">
      <c r="A34" s="212"/>
      <c r="E34" s="13" t="s">
        <v>139</v>
      </c>
      <c r="H34" s="214"/>
      <c r="I34" s="214"/>
    </row>
    <row r="35" spans="1:9" ht="16.2" x14ac:dyDescent="0.35">
      <c r="A35" s="226"/>
      <c r="B35" s="1" t="s">
        <v>172</v>
      </c>
      <c r="D35" s="242">
        <f>IF(KostTHGVorgabe="(Niedrig) 200",200,500)</f>
        <v>500</v>
      </c>
      <c r="E35" s="274"/>
      <c r="F35" s="9" t="s">
        <v>49</v>
      </c>
      <c r="G35" s="233">
        <f>IF(ISNUMBER(E35),E35,D35)</f>
        <v>500</v>
      </c>
      <c r="H35" s="218" t="s">
        <v>173</v>
      </c>
      <c r="I35" s="285"/>
    </row>
    <row r="36" spans="1:9" x14ac:dyDescent="0.25">
      <c r="A36" s="212"/>
      <c r="D36" s="10"/>
      <c r="E36" s="10"/>
      <c r="F36" s="243"/>
      <c r="G36" s="233"/>
      <c r="H36" s="214"/>
      <c r="I36" s="214"/>
    </row>
    <row r="37" spans="1:9" x14ac:dyDescent="0.25">
      <c r="A37" s="212"/>
      <c r="B37" s="1" t="s">
        <v>174</v>
      </c>
      <c r="D37" s="242">
        <v>0.02</v>
      </c>
      <c r="E37" s="274"/>
      <c r="F37" s="9" t="s">
        <v>175</v>
      </c>
      <c r="G37" s="233">
        <f>IF(ISNUMBER(E37),E37,D37)</f>
        <v>0.02</v>
      </c>
      <c r="H37" s="218" t="s">
        <v>173</v>
      </c>
      <c r="I37" s="285"/>
    </row>
    <row r="38" spans="1:9" x14ac:dyDescent="0.25">
      <c r="A38" s="212"/>
      <c r="B38" s="1" t="s">
        <v>176</v>
      </c>
      <c r="D38" s="242">
        <v>0.15</v>
      </c>
      <c r="E38" s="274"/>
      <c r="F38" s="9" t="s">
        <v>175</v>
      </c>
      <c r="G38" s="233">
        <f>IF(ISNUMBER(E38),E38,D38)</f>
        <v>0.15</v>
      </c>
      <c r="H38" s="218" t="s">
        <v>173</v>
      </c>
      <c r="I38" s="285"/>
    </row>
    <row r="39" spans="1:9" x14ac:dyDescent="0.25">
      <c r="A39" s="212"/>
      <c r="B39" s="222"/>
      <c r="C39" s="212"/>
      <c r="D39" s="213"/>
      <c r="E39" s="213"/>
      <c r="F39" s="212"/>
      <c r="G39" s="15"/>
      <c r="H39" s="214"/>
      <c r="I39" s="214"/>
    </row>
    <row r="40" spans="1:9" x14ac:dyDescent="0.25">
      <c r="A40" s="212"/>
      <c r="B40" s="212"/>
      <c r="C40" s="222"/>
      <c r="D40" s="212"/>
      <c r="E40" s="212"/>
      <c r="F40" s="212"/>
      <c r="H40" s="213"/>
      <c r="I40" s="213"/>
    </row>
    <row r="41" spans="1:9" x14ac:dyDescent="0.25">
      <c r="A41" s="212"/>
      <c r="B41" s="3" t="s">
        <v>177</v>
      </c>
      <c r="C41" s="4"/>
      <c r="D41" s="4"/>
      <c r="E41" s="4"/>
      <c r="F41" s="3"/>
      <c r="H41" s="212"/>
      <c r="I41" s="212"/>
    </row>
    <row r="42" spans="1:9" ht="16.2" x14ac:dyDescent="0.35">
      <c r="A42" s="212"/>
      <c r="B42" s="349" t="s">
        <v>178</v>
      </c>
      <c r="C42" s="349"/>
      <c r="D42" s="242">
        <v>84</v>
      </c>
      <c r="E42" s="274"/>
      <c r="F42" s="9" t="s">
        <v>179</v>
      </c>
      <c r="G42" s="233">
        <f>IF(ISNUMBER(E42),E42,D42)</f>
        <v>84</v>
      </c>
      <c r="H42" s="218" t="s">
        <v>180</v>
      </c>
      <c r="I42" s="285"/>
    </row>
    <row r="43" spans="1:9" x14ac:dyDescent="0.25">
      <c r="A43" s="212"/>
      <c r="B43" s="277" t="s">
        <v>181</v>
      </c>
      <c r="C43" s="278"/>
      <c r="D43" s="278"/>
      <c r="E43" s="212"/>
      <c r="F43" s="212"/>
      <c r="G43" s="213"/>
      <c r="H43" s="212"/>
      <c r="I43" s="212"/>
    </row>
    <row r="44" spans="1:9" x14ac:dyDescent="0.25">
      <c r="A44" s="212"/>
      <c r="B44" s="212"/>
      <c r="C44" s="279"/>
      <c r="D44" s="279"/>
      <c r="E44" s="280"/>
      <c r="F44" s="212"/>
      <c r="G44" s="213"/>
      <c r="H44" s="212"/>
      <c r="I44" s="212"/>
    </row>
  </sheetData>
  <sheetProtection sheet="1" objects="1" scenarios="1"/>
  <mergeCells count="5">
    <mergeCell ref="B7:B9"/>
    <mergeCell ref="B12:B13"/>
    <mergeCell ref="B42:C42"/>
    <mergeCell ref="A27:A28"/>
    <mergeCell ref="B33:F33"/>
  </mergeCells>
  <conditionalFormatting sqref="I24">
    <cfRule type="expression" dxfId="14" priority="10">
      <formula>E24&lt;&gt;""</formula>
    </cfRule>
  </conditionalFormatting>
  <conditionalFormatting sqref="I25">
    <cfRule type="expression" dxfId="13" priority="9">
      <formula>E25&lt;&gt;""</formula>
    </cfRule>
  </conditionalFormatting>
  <conditionalFormatting sqref="I27">
    <cfRule type="expression" dxfId="12" priority="8">
      <formula>E27&lt;&gt;""</formula>
    </cfRule>
  </conditionalFormatting>
  <conditionalFormatting sqref="I28">
    <cfRule type="expression" dxfId="11" priority="7">
      <formula>E28&lt;&gt;""</formula>
    </cfRule>
  </conditionalFormatting>
  <conditionalFormatting sqref="I29">
    <cfRule type="expression" dxfId="10" priority="6">
      <formula>E29&lt;&gt;""</formula>
    </cfRule>
  </conditionalFormatting>
  <conditionalFormatting sqref="I35">
    <cfRule type="expression" dxfId="9" priority="5">
      <formula>E35&lt;&gt;""</formula>
    </cfRule>
  </conditionalFormatting>
  <conditionalFormatting sqref="I37">
    <cfRule type="expression" dxfId="8" priority="4">
      <formula>E37&lt;&gt;""</formula>
    </cfRule>
  </conditionalFormatting>
  <conditionalFormatting sqref="I38">
    <cfRule type="expression" dxfId="7" priority="3">
      <formula>E38&lt;&gt;""</formula>
    </cfRule>
  </conditionalFormatting>
  <conditionalFormatting sqref="I42">
    <cfRule type="expression" dxfId="6" priority="2">
      <formula>E42&lt;&gt;""</formula>
    </cfRule>
  </conditionalFormatting>
  <conditionalFormatting sqref="I23">
    <cfRule type="expression" dxfId="5" priority="1">
      <formula>SUM(E24:E42)&gt;0</formula>
    </cfRule>
  </conditionalFormatting>
  <hyperlinks>
    <hyperlink ref="I2" location="Anleitung!A1" display="zurück zu &quot;Anleitung&quot;" xr:uid="{00000000-0004-0000-0500-000000000000}"/>
  </hyperlinks>
  <pageMargins left="0.7" right="0.7" top="0.78740157499999996" bottom="0.78740157499999996"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63"/>
  <sheetViews>
    <sheetView showGridLines="0" zoomScaleNormal="100" workbookViewId="0"/>
  </sheetViews>
  <sheetFormatPr baseColWidth="10" defaultColWidth="11.5546875" defaultRowHeight="13.8" x14ac:dyDescent="0.25"/>
  <cols>
    <col min="1" max="1" width="5.33203125" style="1" customWidth="1"/>
    <col min="2" max="2" width="61.6640625" style="1" customWidth="1"/>
    <col min="3" max="3" width="17.6640625" style="1" customWidth="1"/>
    <col min="4" max="4" width="18.33203125" style="1" customWidth="1"/>
    <col min="5" max="5" width="11.5546875" style="137" customWidth="1"/>
    <col min="6" max="6" width="25.33203125" style="1" hidden="1" customWidth="1"/>
    <col min="7" max="16384" width="11.5546875" style="1"/>
  </cols>
  <sheetData>
    <row r="1" spans="1:7" x14ac:dyDescent="0.25">
      <c r="F1" s="7"/>
    </row>
    <row r="2" spans="1:7" x14ac:dyDescent="0.25">
      <c r="B2" s="2" t="s">
        <v>182</v>
      </c>
      <c r="E2" s="118" t="s">
        <v>28</v>
      </c>
      <c r="F2" s="7"/>
      <c r="G2" s="118"/>
    </row>
    <row r="3" spans="1:7" x14ac:dyDescent="0.25">
      <c r="F3" s="7"/>
    </row>
    <row r="4" spans="1:7" x14ac:dyDescent="0.25">
      <c r="B4" s="3" t="s">
        <v>183</v>
      </c>
      <c r="C4" s="100"/>
      <c r="D4" s="100"/>
      <c r="F4" s="7"/>
    </row>
    <row r="5" spans="1:7" x14ac:dyDescent="0.25">
      <c r="F5" s="137" t="str">
        <f>IF(Antriebsart1="Vollelektrisch (BEV)","Strom","nicht verfügbar")</f>
        <v>Strom</v>
      </c>
    </row>
    <row r="6" spans="1:7" x14ac:dyDescent="0.25">
      <c r="B6" s="2" t="s">
        <v>60</v>
      </c>
      <c r="C6" s="56">
        <v>1</v>
      </c>
      <c r="F6" s="137" t="str">
        <f>IF(OR(Antriebsart1="Verbrenner",Antriebsart1="Plug-In-Hybrid (PHEV)"),"Diesel","nicht verfügbar")</f>
        <v>nicht verfügbar</v>
      </c>
    </row>
    <row r="7" spans="1:7" x14ac:dyDescent="0.25">
      <c r="B7" s="1" t="s">
        <v>69</v>
      </c>
      <c r="C7" s="114" t="str">
        <f>IF(Anbieter1=0,"",Anbieter1)</f>
        <v>A</v>
      </c>
      <c r="F7" s="137" t="str">
        <f>IF(OR(Antriebsart1="Verbrenner",Antriebsart1="Plug-In-Hybrid (PHEV)"),"Benzin","nicht verfügbar")</f>
        <v>nicht verfügbar</v>
      </c>
    </row>
    <row r="8" spans="1:7" x14ac:dyDescent="0.25">
      <c r="C8" s="114"/>
      <c r="F8" s="137" t="str">
        <f>IF(Antriebsart1="Verbrenner","Erdgas (CNG)","nicht verfügbar")</f>
        <v>nicht verfügbar</v>
      </c>
    </row>
    <row r="9" spans="1:7" x14ac:dyDescent="0.25">
      <c r="B9" s="2" t="s">
        <v>184</v>
      </c>
      <c r="C9" s="114"/>
      <c r="F9" s="137"/>
    </row>
    <row r="10" spans="1:7" x14ac:dyDescent="0.25">
      <c r="B10" s="1" t="s">
        <v>185</v>
      </c>
      <c r="C10" s="114" t="str">
        <f>IF(Hersteller1=0,"",Hersteller1)</f>
        <v>VW</v>
      </c>
      <c r="D10" s="57"/>
      <c r="F10" s="137"/>
    </row>
    <row r="11" spans="1:7" x14ac:dyDescent="0.25">
      <c r="B11" s="1" t="s">
        <v>81</v>
      </c>
      <c r="C11" s="114" t="str">
        <f>IF(Modell1=0,"",Modell1)</f>
        <v>ID.3</v>
      </c>
      <c r="D11" s="57"/>
      <c r="F11" s="137"/>
    </row>
    <row r="12" spans="1:7" ht="43.95" customHeight="1" x14ac:dyDescent="0.25">
      <c r="B12" s="58" t="s">
        <v>186</v>
      </c>
      <c r="C12" s="114" t="str">
        <f>IF(Zusatzinfo1=0,"",Zusatzinfo1)</f>
        <v>Pro Performance</v>
      </c>
      <c r="D12" s="57"/>
      <c r="F12" s="137"/>
    </row>
    <row r="13" spans="1:7" x14ac:dyDescent="0.25">
      <c r="B13" s="59" t="s">
        <v>61</v>
      </c>
      <c r="C13" s="114" t="str">
        <f>IF(Antriebsart1=0,"",Antriebsart1)</f>
        <v>Vollelektrisch (BEV)</v>
      </c>
      <c r="F13" s="7"/>
    </row>
    <row r="14" spans="1:7" x14ac:dyDescent="0.25">
      <c r="A14" s="119"/>
      <c r="B14" s="2" t="s">
        <v>65</v>
      </c>
      <c r="C14" s="114" t="str">
        <f>IF(Energie1=0,"",Energie1)</f>
        <v>Strom</v>
      </c>
      <c r="D14" s="99"/>
      <c r="E14" s="145"/>
      <c r="F14" s="7"/>
    </row>
    <row r="15" spans="1:7" s="137" customFormat="1" ht="13.95" customHeight="1" x14ac:dyDescent="0.25">
      <c r="A15" s="136"/>
      <c r="C15" s="139"/>
      <c r="F15" s="7"/>
    </row>
    <row r="16" spans="1:7" x14ac:dyDescent="0.25">
      <c r="B16" s="3" t="s">
        <v>187</v>
      </c>
      <c r="C16" s="3"/>
      <c r="D16" s="3"/>
      <c r="F16" s="137"/>
    </row>
    <row r="17" spans="1:6" x14ac:dyDescent="0.25">
      <c r="B17" s="69"/>
      <c r="C17" s="69"/>
      <c r="D17" s="69"/>
      <c r="F17" s="137"/>
    </row>
    <row r="18" spans="1:6" x14ac:dyDescent="0.25">
      <c r="B18" s="75" t="s">
        <v>188</v>
      </c>
      <c r="C18" s="325">
        <f>0.0057*(ReichwPHEV1/23)^3-0.0838*(ReichwPHEV1/23)^2+0.4261*(ReichwPHEV1/23)+ 0.1633</f>
        <v>0.1633</v>
      </c>
      <c r="D18" s="200"/>
      <c r="F18" s="137"/>
    </row>
    <row r="19" spans="1:6" x14ac:dyDescent="0.25">
      <c r="B19" s="1" t="s">
        <v>189</v>
      </c>
      <c r="C19" s="326">
        <f>Verbrauch1/(1-0.9*C18)</f>
        <v>0</v>
      </c>
      <c r="D19" s="7" t="s">
        <v>100</v>
      </c>
      <c r="F19" s="137"/>
    </row>
    <row r="20" spans="1:6" x14ac:dyDescent="0.25">
      <c r="B20" s="75" t="s">
        <v>190</v>
      </c>
      <c r="C20" s="327">
        <f>VerbEl_WLTP1/C18</f>
        <v>93.0802204531537</v>
      </c>
      <c r="D20" s="200" t="s">
        <v>101</v>
      </c>
      <c r="F20" s="137"/>
    </row>
    <row r="21" spans="1:6" x14ac:dyDescent="0.25">
      <c r="B21" s="202" t="s">
        <v>191</v>
      </c>
      <c r="C21" s="328">
        <f>0.0021*(ReichwPHEV1/23)^3-0.0358*(ReichwPHEV1/23)^2+0.2607*(ReichwPHEV1/23)- 0.0267</f>
        <v>-2.6700000000000002E-2</v>
      </c>
      <c r="D21" s="203"/>
      <c r="F21" s="137"/>
    </row>
    <row r="22" spans="1:6" x14ac:dyDescent="0.25">
      <c r="A22" s="387" t="s">
        <v>17</v>
      </c>
      <c r="B22" s="386" t="s">
        <v>192</v>
      </c>
      <c r="C22" s="329">
        <f>C19*(1-0.9*C21)</f>
        <v>0</v>
      </c>
      <c r="D22" s="201" t="s">
        <v>100</v>
      </c>
      <c r="F22" s="137"/>
    </row>
    <row r="23" spans="1:6" x14ac:dyDescent="0.25">
      <c r="A23" s="387"/>
      <c r="B23" s="371"/>
      <c r="C23" s="329">
        <f>C20*C21</f>
        <v>-2.485241886099204</v>
      </c>
      <c r="D23" s="199" t="s">
        <v>101</v>
      </c>
      <c r="F23" s="137"/>
    </row>
    <row r="24" spans="1:6" s="137" customFormat="1" ht="14.4" x14ac:dyDescent="0.25">
      <c r="A24" s="138"/>
      <c r="C24" s="197"/>
      <c r="D24" s="7"/>
    </row>
    <row r="25" spans="1:6" x14ac:dyDescent="0.25">
      <c r="B25" s="3" t="s">
        <v>193</v>
      </c>
      <c r="C25" s="100"/>
      <c r="D25" s="100"/>
      <c r="F25" s="119"/>
    </row>
    <row r="26" spans="1:6" x14ac:dyDescent="0.25">
      <c r="F26" s="137"/>
    </row>
    <row r="27" spans="1:6" x14ac:dyDescent="0.25">
      <c r="B27" s="62" t="s">
        <v>121</v>
      </c>
      <c r="C27" s="63"/>
      <c r="D27" s="62"/>
      <c r="F27" s="137"/>
    </row>
    <row r="28" spans="1:6" x14ac:dyDescent="0.25">
      <c r="B28" s="1" t="s">
        <v>194</v>
      </c>
      <c r="C28" s="315">
        <f>IF(Antriebsart1="Vollelektrisch (BEV)",0,IFERROR(VLOOKUP(Energie1,EnKostList,6,FALSE),0)*IF(Antriebsart1="Plug-In-Hybrid (PHEV)",VerbPHEV1,Verbrauch1)/100*Fahrleistung)</f>
        <v>0</v>
      </c>
      <c r="D28" s="2" t="s">
        <v>195</v>
      </c>
      <c r="F28" s="137"/>
    </row>
    <row r="29" spans="1:6" x14ac:dyDescent="0.25">
      <c r="B29" s="1" t="s">
        <v>66</v>
      </c>
      <c r="C29" s="315">
        <f>IF(Antriebsart1="Verbrenner",0,VLOOKUP("Strom",EnKostList,6,FALSE)*IF(Antriebsart1="Plug-In-Hybrid (PHEV)",VerbElPHEV1,VerbEl_WLTP1)/100*Fahrleistung)</f>
        <v>1542.8</v>
      </c>
      <c r="D29" s="2" t="s">
        <v>195</v>
      </c>
    </row>
    <row r="30" spans="1:6" ht="14.4" thickBot="1" x14ac:dyDescent="0.3">
      <c r="B30" s="66" t="s">
        <v>125</v>
      </c>
      <c r="C30" s="316">
        <f>SUM(C28:C29)</f>
        <v>1542.8</v>
      </c>
      <c r="D30" s="66" t="s">
        <v>195</v>
      </c>
    </row>
    <row r="31" spans="1:6" ht="14.4" thickTop="1" x14ac:dyDescent="0.25">
      <c r="C31" s="10"/>
      <c r="D31" s="2"/>
    </row>
    <row r="32" spans="1:6" x14ac:dyDescent="0.25">
      <c r="B32" s="62" t="s">
        <v>196</v>
      </c>
      <c r="C32" s="160" t="str">
        <f>CONCATENATE("Energieträger: ",Energie1)</f>
        <v>Energieträger: Strom</v>
      </c>
      <c r="D32" s="62"/>
      <c r="F32" s="161"/>
    </row>
    <row r="33" spans="1:6" ht="16.2" x14ac:dyDescent="0.35">
      <c r="B33" s="1" t="s">
        <v>197</v>
      </c>
      <c r="C33" s="315">
        <f>IF(Antriebsart1="Plug-In-Hybrid (PHEV)",VerbPHEV1*VLOOKUP(Energie1,CO2List,2,FALSE)/100,CO2_1)*Fahrleistung/1000000</f>
        <v>0</v>
      </c>
      <c r="D33" s="2" t="s">
        <v>198</v>
      </c>
      <c r="F33" s="119"/>
    </row>
    <row r="34" spans="1:6" x14ac:dyDescent="0.25">
      <c r="B34" s="1" t="s">
        <v>172</v>
      </c>
      <c r="C34" s="315">
        <f>C33*Kost_THG</f>
        <v>0</v>
      </c>
      <c r="D34" s="2" t="s">
        <v>195</v>
      </c>
    </row>
    <row r="35" spans="1:6" x14ac:dyDescent="0.25">
      <c r="B35" s="1" t="s">
        <v>199</v>
      </c>
      <c r="C35" s="315">
        <f>IF(Energie1="Strom",0,NOX_1*Fahrleistung*Kost_NOX/1000)</f>
        <v>0</v>
      </c>
      <c r="D35" s="2" t="s">
        <v>195</v>
      </c>
    </row>
    <row r="36" spans="1:6" x14ac:dyDescent="0.25">
      <c r="B36" s="1" t="s">
        <v>106</v>
      </c>
      <c r="C36" s="315">
        <f>IF(Energie1="Strom",0,Partikel1*Fahrleistung*Kost_Partikel/1000)</f>
        <v>0</v>
      </c>
      <c r="D36" s="2" t="s">
        <v>195</v>
      </c>
    </row>
    <row r="37" spans="1:6" ht="14.4" thickBot="1" x14ac:dyDescent="0.3">
      <c r="B37" s="66" t="s">
        <v>125</v>
      </c>
      <c r="C37" s="316">
        <f>SUM(C34:C36)</f>
        <v>0</v>
      </c>
      <c r="D37" s="66" t="s">
        <v>195</v>
      </c>
    </row>
    <row r="38" spans="1:6" ht="14.4" thickTop="1" x14ac:dyDescent="0.25">
      <c r="D38" s="2"/>
    </row>
    <row r="39" spans="1:6" x14ac:dyDescent="0.25">
      <c r="B39" s="62" t="s">
        <v>200</v>
      </c>
      <c r="C39" s="160" t="str">
        <f>CONCATENATE("Energieträger: ",Energie1,IF(Antriebsart1="Plug-In-Hybrid (PHEV)","+Strom",""))</f>
        <v>Energieträger: Strom</v>
      </c>
      <c r="D39" s="62"/>
    </row>
    <row r="40" spans="1:6" ht="16.2" x14ac:dyDescent="0.35">
      <c r="B40" s="1" t="s">
        <v>197</v>
      </c>
      <c r="C40" s="315">
        <f ca="1">IFERROR(IF(Antriebsart1="Vollelektrisch (BEV)",VLOOKUP("Strom",CO2List,3,FALSE)*VerbEl_WLTP1/100*Fahrleistung/1000000,IF(Antriebsart1="Verbrenner",VLOOKUP(Energie1,CO2List,3,FALSE)*Verbrauch1/100*Fahrleistung/1000000,VLOOKUP(Energie1,CO2List,3,FALSE)*VerbPHEV1/100*Fahrleistung/1000000+VLOOKUP("Strom",CO2List,3,FALSE)*VerbElPHEV1/100*Fahrleistung/1000000)),0)</f>
        <v>1.0453465599999998</v>
      </c>
      <c r="D40" s="2" t="s">
        <v>198</v>
      </c>
      <c r="F40" s="119"/>
    </row>
    <row r="41" spans="1:6" x14ac:dyDescent="0.25">
      <c r="B41" s="1" t="s">
        <v>201</v>
      </c>
      <c r="C41" s="315">
        <f ca="1">C40*Kost_THG</f>
        <v>522.67327999999986</v>
      </c>
      <c r="D41" s="2" t="s">
        <v>195</v>
      </c>
    </row>
    <row r="43" spans="1:6" x14ac:dyDescent="0.25">
      <c r="B43" s="3" t="s">
        <v>202</v>
      </c>
      <c r="C43" s="100"/>
      <c r="D43" s="100"/>
      <c r="F43" s="119"/>
    </row>
    <row r="44" spans="1:6" x14ac:dyDescent="0.25">
      <c r="B44" s="32"/>
      <c r="C44" s="32"/>
      <c r="D44" s="32"/>
    </row>
    <row r="45" spans="1:6" x14ac:dyDescent="0.25">
      <c r="A45" s="119"/>
      <c r="B45" s="101" t="s">
        <v>203</v>
      </c>
      <c r="C45" s="146" t="s">
        <v>204</v>
      </c>
      <c r="D45" s="64"/>
    </row>
    <row r="46" spans="1:6" ht="16.2" customHeight="1" x14ac:dyDescent="0.25">
      <c r="A46" s="345" t="s">
        <v>17</v>
      </c>
      <c r="B46" s="384" t="s">
        <v>197</v>
      </c>
      <c r="C46" s="317">
        <f>IF(OR(Antriebsart1="Vollelektrisch (BEV)",Antriebsart1="Plug-In-Hybrid (PHEV)"),Batterie1*Batterie_THG/1000,0)</f>
        <v>5.2080000000000002</v>
      </c>
      <c r="D46" s="143" t="s">
        <v>205</v>
      </c>
      <c r="E46" s="139"/>
      <c r="F46" s="119"/>
    </row>
    <row r="47" spans="1:6" ht="16.2" customHeight="1" x14ac:dyDescent="0.25">
      <c r="A47" s="345"/>
      <c r="B47" s="385"/>
      <c r="C47" s="317">
        <f>IF((Fahrleistung*16)&lt;220000,C46*10^6/(Fahrleistung*16),C46*10^6/220000)</f>
        <v>23.672727272727272</v>
      </c>
      <c r="D47" s="142" t="s">
        <v>206</v>
      </c>
      <c r="E47" s="139"/>
      <c r="F47" s="119"/>
    </row>
    <row r="48" spans="1:6" x14ac:dyDescent="0.25">
      <c r="B48" s="1" t="s">
        <v>207</v>
      </c>
      <c r="C48" s="315">
        <f>IF(C47*Fahrleistung/10^6*Haltedauer&lt;C46, C47*Fahrleistung/10^6*Kost_THG, C46/Haltedauer*Kost_THG)</f>
        <v>236.72727272727269</v>
      </c>
      <c r="D48" s="2" t="s">
        <v>195</v>
      </c>
    </row>
    <row r="49" spans="2:6" x14ac:dyDescent="0.25">
      <c r="D49" s="2"/>
    </row>
    <row r="50" spans="2:6" x14ac:dyDescent="0.25">
      <c r="F50" s="119"/>
    </row>
    <row r="51" spans="2:6" x14ac:dyDescent="0.25">
      <c r="B51" s="3" t="str">
        <f>CONCATENATE("Lebenszykluskosten"," (Haltedauer: ",Haltedauer," Jahre)")</f>
        <v>Lebenszykluskosten (Haltedauer: 7 Jahre)</v>
      </c>
      <c r="C51" s="100"/>
      <c r="D51" s="100"/>
    </row>
    <row r="52" spans="2:6" x14ac:dyDescent="0.25">
      <c r="B52" s="1" t="s">
        <v>208</v>
      </c>
    </row>
    <row r="54" spans="2:6" x14ac:dyDescent="0.25">
      <c r="B54" s="71" t="s">
        <v>209</v>
      </c>
      <c r="C54" s="318">
        <f>IF(FinArt="Kauf",IF(KaufpreisRech="Kaufpreis",Gesamtpreis1,0),Gesamtpreis1*Haltedauer*12+IF(FinArt="Leasing",LeasSondZahl1,0))</f>
        <v>0</v>
      </c>
      <c r="D54" s="71" t="s">
        <v>96</v>
      </c>
      <c r="F54" s="60"/>
    </row>
    <row r="55" spans="2:6" x14ac:dyDescent="0.25">
      <c r="B55" s="1" t="s">
        <v>210</v>
      </c>
      <c r="C55" s="319">
        <f>IF(AND(KaufpreisRech="Wertminderung",FinArt="Kauf"),Gesamtpreis1-Gesamtpreis1*(-0.2*LN(Haltedauer)+0.667),0)</f>
        <v>27486.248054609045</v>
      </c>
      <c r="D55" s="1" t="s">
        <v>96</v>
      </c>
      <c r="F55" s="60"/>
    </row>
    <row r="56" spans="2:6" x14ac:dyDescent="0.25">
      <c r="B56" s="1" t="s">
        <v>121</v>
      </c>
      <c r="C56" s="319">
        <f>C30*Haltedauer</f>
        <v>10799.6</v>
      </c>
      <c r="D56" s="1" t="s">
        <v>96</v>
      </c>
      <c r="F56" s="60"/>
    </row>
    <row r="57" spans="2:6" x14ac:dyDescent="0.25">
      <c r="B57" s="1" t="s">
        <v>211</v>
      </c>
      <c r="C57" s="319">
        <f>C37*Haltedauer</f>
        <v>0</v>
      </c>
      <c r="D57" s="1" t="s">
        <v>96</v>
      </c>
      <c r="F57" s="60"/>
    </row>
    <row r="58" spans="2:6" x14ac:dyDescent="0.25">
      <c r="B58" s="1" t="s">
        <v>201</v>
      </c>
      <c r="C58" s="319">
        <f ca="1">C41*Haltedauer</f>
        <v>3658.7129599999989</v>
      </c>
      <c r="D58" s="1" t="s">
        <v>96</v>
      </c>
      <c r="F58" s="60"/>
    </row>
    <row r="59" spans="2:6" x14ac:dyDescent="0.25">
      <c r="B59" s="75" t="s">
        <v>124</v>
      </c>
      <c r="C59" s="320">
        <f>C48*Haltedauer</f>
        <v>1657.0909090909088</v>
      </c>
      <c r="D59" s="75" t="s">
        <v>96</v>
      </c>
      <c r="F59" s="162"/>
    </row>
    <row r="60" spans="2:6" ht="14.4" thickBot="1" x14ac:dyDescent="0.3">
      <c r="B60" s="66" t="s">
        <v>125</v>
      </c>
      <c r="C60" s="321">
        <f ca="1">SUM(C54:C59)</f>
        <v>43601.651923699952</v>
      </c>
      <c r="D60" s="66" t="s">
        <v>96</v>
      </c>
      <c r="F60" s="60"/>
    </row>
    <row r="61" spans="2:6" ht="14.4" thickTop="1" x14ac:dyDescent="0.25">
      <c r="C61" s="10"/>
    </row>
    <row r="62" spans="2:6" ht="16.2" x14ac:dyDescent="0.35">
      <c r="B62" s="71" t="s">
        <v>212</v>
      </c>
      <c r="C62" s="322">
        <f>IF(C47*Fahrleistung/10^6*Haltedauer&lt;C46, C47*Fahrleistung/10^6*Haltedauer, C46)</f>
        <v>3.3141818181818179</v>
      </c>
      <c r="D62" s="71" t="s">
        <v>213</v>
      </c>
    </row>
    <row r="63" spans="2:6" ht="16.2" x14ac:dyDescent="0.35">
      <c r="B63" s="75" t="s">
        <v>130</v>
      </c>
      <c r="C63" s="323">
        <f ca="1">C33*Haltedauer+C40*Haltedauer</f>
        <v>7.3174259199999989</v>
      </c>
      <c r="D63" s="75" t="s">
        <v>213</v>
      </c>
    </row>
  </sheetData>
  <sheetProtection sheet="1" objects="1" scenarios="1"/>
  <mergeCells count="4">
    <mergeCell ref="B46:B47"/>
    <mergeCell ref="A46:A47"/>
    <mergeCell ref="B22:B23"/>
    <mergeCell ref="A22:A23"/>
  </mergeCells>
  <conditionalFormatting sqref="A16:D23">
    <cfRule type="expression" dxfId="4" priority="3">
      <formula>Antriebsart1&lt;&gt;"Plug-In-Hybrid (PHEV)"</formula>
    </cfRule>
  </conditionalFormatting>
  <hyperlinks>
    <hyperlink ref="E2" location="Anleitung!A1" display="zurück zu &quot;Anleitung&quot;" xr:uid="{00000000-0004-0000-0600-000000000000}"/>
  </hyperlinks>
  <pageMargins left="0.25" right="0.25" top="0.75" bottom="0.75" header="0.3" footer="0.3"/>
  <pageSetup paperSize="9" scale="8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63"/>
  <sheetViews>
    <sheetView showGridLines="0" zoomScaleNormal="100" workbookViewId="0"/>
  </sheetViews>
  <sheetFormatPr baseColWidth="10" defaultColWidth="11.5546875" defaultRowHeight="13.8" x14ac:dyDescent="0.25"/>
  <cols>
    <col min="1" max="1" width="5.33203125" style="1" customWidth="1"/>
    <col min="2" max="2" width="61.6640625" style="1" customWidth="1"/>
    <col min="3" max="3" width="17.6640625" style="1" customWidth="1"/>
    <col min="4" max="4" width="18.33203125" style="1" customWidth="1"/>
    <col min="5" max="5" width="11.5546875" style="1"/>
    <col min="6" max="6" width="25.33203125" style="1" hidden="1" customWidth="1"/>
    <col min="7" max="16384" width="11.5546875" style="1"/>
  </cols>
  <sheetData>
    <row r="1" spans="1:6" x14ac:dyDescent="0.25">
      <c r="E1" s="137"/>
      <c r="F1" s="137"/>
    </row>
    <row r="2" spans="1:6" x14ac:dyDescent="0.25">
      <c r="B2" s="2" t="s">
        <v>214</v>
      </c>
      <c r="E2" s="118" t="s">
        <v>28</v>
      </c>
      <c r="F2" s="137"/>
    </row>
    <row r="3" spans="1:6" x14ac:dyDescent="0.25">
      <c r="E3" s="137"/>
      <c r="F3" s="137"/>
    </row>
    <row r="4" spans="1:6" x14ac:dyDescent="0.25">
      <c r="B4" s="3" t="s">
        <v>183</v>
      </c>
      <c r="C4" s="3"/>
      <c r="D4" s="3"/>
      <c r="E4" s="137"/>
      <c r="F4" s="137"/>
    </row>
    <row r="5" spans="1:6" x14ac:dyDescent="0.25">
      <c r="E5" s="137"/>
      <c r="F5" s="137" t="str">
        <f>IF(Antriebsart2="Vollelektrisch (BEV)","Strom","nicht verfügbar")</f>
        <v>nicht verfügbar</v>
      </c>
    </row>
    <row r="6" spans="1:6" x14ac:dyDescent="0.25">
      <c r="B6" s="2" t="s">
        <v>60</v>
      </c>
      <c r="C6" s="56">
        <v>2</v>
      </c>
      <c r="E6" s="137"/>
      <c r="F6" s="137" t="str">
        <f>IF(OR(Antriebsart2="Verbrenner",Antriebsart2="Plug-In-Hybrid (PHEV)"),"Diesel","nicht verfügbar")</f>
        <v>Diesel</v>
      </c>
    </row>
    <row r="7" spans="1:6" x14ac:dyDescent="0.25">
      <c r="B7" s="1" t="s">
        <v>69</v>
      </c>
      <c r="C7" s="114" t="str">
        <f>IF(Anbieter2=0,"",Anbieter2)</f>
        <v>B</v>
      </c>
      <c r="E7" s="137"/>
      <c r="F7" s="137" t="str">
        <f>IF(OR(Antriebsart2="Verbrenner",Antriebsart2="Plug-In-Hybrid (PHEV)"),"Benzin","nicht verfügbar")</f>
        <v>Benzin</v>
      </c>
    </row>
    <row r="8" spans="1:6" x14ac:dyDescent="0.25">
      <c r="C8" s="114"/>
      <c r="E8" s="137"/>
      <c r="F8" s="137" t="str">
        <f>IF(Antriebsart2="Verbrenner","Erdgas (CNG)","nicht verfügbar")</f>
        <v>Erdgas (CNG)</v>
      </c>
    </row>
    <row r="9" spans="1:6" x14ac:dyDescent="0.25">
      <c r="B9" s="2" t="s">
        <v>184</v>
      </c>
      <c r="C9" s="114"/>
      <c r="E9" s="137"/>
      <c r="F9" s="137"/>
    </row>
    <row r="10" spans="1:6" x14ac:dyDescent="0.25">
      <c r="B10" s="1" t="s">
        <v>185</v>
      </c>
      <c r="C10" s="114" t="str">
        <f>IF(Hersteller2=0,"",Hersteller2)</f>
        <v>VW</v>
      </c>
      <c r="D10" s="57"/>
      <c r="E10" s="137"/>
      <c r="F10" s="137"/>
    </row>
    <row r="11" spans="1:6" x14ac:dyDescent="0.25">
      <c r="B11" s="1" t="s">
        <v>81</v>
      </c>
      <c r="C11" s="114" t="str">
        <f>IF(Modell2=0,"",Modell2)</f>
        <v>Golf 2.0 TDI</v>
      </c>
      <c r="D11" s="57"/>
      <c r="E11" s="137"/>
      <c r="F11" s="137"/>
    </row>
    <row r="12" spans="1:6" ht="43.95" customHeight="1" x14ac:dyDescent="0.25">
      <c r="B12" s="58" t="s">
        <v>186</v>
      </c>
      <c r="C12" s="114" t="str">
        <f>IF(Zusatzinfo2=0,"",Zusatzinfo2)</f>
        <v>SCR Life</v>
      </c>
      <c r="D12" s="57"/>
      <c r="E12" s="137"/>
      <c r="F12" s="137"/>
    </row>
    <row r="13" spans="1:6" x14ac:dyDescent="0.25">
      <c r="B13" s="59" t="s">
        <v>61</v>
      </c>
      <c r="C13" s="114" t="str">
        <f>IF(Antriebsart2=0,"",Antriebsart2)</f>
        <v>Verbrenner</v>
      </c>
      <c r="E13" s="137"/>
      <c r="F13" s="137"/>
    </row>
    <row r="14" spans="1:6" x14ac:dyDescent="0.25">
      <c r="B14" s="2" t="s">
        <v>65</v>
      </c>
      <c r="C14" s="114" t="str">
        <f>IF(Energie2=0,"",Energie2)</f>
        <v>Diesel</v>
      </c>
      <c r="D14" s="99"/>
      <c r="E14" s="137"/>
      <c r="F14" s="137"/>
    </row>
    <row r="15" spans="1:6" s="137" customFormat="1" ht="14.4" x14ac:dyDescent="0.25">
      <c r="A15" s="138"/>
      <c r="C15" s="139"/>
    </row>
    <row r="16" spans="1:6" x14ac:dyDescent="0.25">
      <c r="B16" s="3" t="s">
        <v>187</v>
      </c>
      <c r="C16" s="3"/>
      <c r="D16" s="3"/>
      <c r="E16" s="137"/>
      <c r="F16" s="137"/>
    </row>
    <row r="17" spans="1:6" x14ac:dyDescent="0.25">
      <c r="B17" s="69"/>
      <c r="C17" s="69"/>
      <c r="D17" s="69"/>
      <c r="E17" s="137"/>
      <c r="F17" s="137"/>
    </row>
    <row r="18" spans="1:6" x14ac:dyDescent="0.25">
      <c r="B18" s="75" t="s">
        <v>188</v>
      </c>
      <c r="C18" s="325">
        <f>0.0057*(ReichwPHEV2/23)^3-0.0838*(ReichwPHEV2/23)^2+0.4261*(ReichwPHEV2/23)+ 0.1633</f>
        <v>0.1633</v>
      </c>
      <c r="D18" s="200"/>
      <c r="E18" s="137"/>
      <c r="F18" s="137"/>
    </row>
    <row r="19" spans="1:6" x14ac:dyDescent="0.25">
      <c r="B19" s="1" t="s">
        <v>189</v>
      </c>
      <c r="C19" s="326">
        <f>Verbrauch2/(1-0.9*C18)</f>
        <v>5.2753127088144618</v>
      </c>
      <c r="D19" s="7" t="s">
        <v>100</v>
      </c>
      <c r="E19" s="137"/>
      <c r="F19" s="137"/>
    </row>
    <row r="20" spans="1:6" x14ac:dyDescent="0.25">
      <c r="B20" s="75" t="s">
        <v>190</v>
      </c>
      <c r="C20" s="327">
        <f>VerbEl_WLTP2/C18</f>
        <v>0</v>
      </c>
      <c r="D20" s="200" t="s">
        <v>101</v>
      </c>
      <c r="E20" s="137"/>
      <c r="F20" s="137"/>
    </row>
    <row r="21" spans="1:6" x14ac:dyDescent="0.25">
      <c r="B21" s="202" t="s">
        <v>191</v>
      </c>
      <c r="C21" s="328">
        <f>0.0021*(ReichwPHEV2/23)^3-0.0358*(ReichwPHEV2/23)^2+0.2607*(ReichwPHEV2/23)- 0.0267</f>
        <v>-2.6700000000000002E-2</v>
      </c>
      <c r="D21" s="203"/>
      <c r="E21" s="137"/>
      <c r="F21" s="137"/>
    </row>
    <row r="22" spans="1:6" x14ac:dyDescent="0.25">
      <c r="A22" s="387" t="s">
        <v>17</v>
      </c>
      <c r="B22" s="386" t="s">
        <v>192</v>
      </c>
      <c r="C22" s="329">
        <f>C19*(1-0.9*C21)</f>
        <v>5.4020784732072729</v>
      </c>
      <c r="D22" s="201" t="s">
        <v>100</v>
      </c>
      <c r="E22" s="137"/>
      <c r="F22" s="137"/>
    </row>
    <row r="23" spans="1:6" x14ac:dyDescent="0.25">
      <c r="A23" s="387"/>
      <c r="B23" s="371"/>
      <c r="C23" s="329">
        <f>C20*C21</f>
        <v>0</v>
      </c>
      <c r="D23" s="199" t="s">
        <v>101</v>
      </c>
      <c r="E23" s="137"/>
      <c r="F23" s="137"/>
    </row>
    <row r="24" spans="1:6" s="137" customFormat="1" ht="14.4" x14ac:dyDescent="0.25">
      <c r="A24" s="138"/>
      <c r="C24" s="197"/>
      <c r="D24" s="7"/>
    </row>
    <row r="25" spans="1:6" x14ac:dyDescent="0.25">
      <c r="B25" s="3" t="s">
        <v>193</v>
      </c>
      <c r="C25" s="3"/>
      <c r="D25" s="3"/>
      <c r="E25" s="137"/>
      <c r="F25" s="137"/>
    </row>
    <row r="26" spans="1:6" x14ac:dyDescent="0.25">
      <c r="E26" s="137"/>
      <c r="F26" s="137"/>
    </row>
    <row r="27" spans="1:6" x14ac:dyDescent="0.25">
      <c r="B27" s="62" t="s">
        <v>121</v>
      </c>
      <c r="C27" s="63"/>
      <c r="D27" s="62"/>
      <c r="E27" s="137"/>
      <c r="F27" s="137"/>
    </row>
    <row r="28" spans="1:6" x14ac:dyDescent="0.25">
      <c r="B28" s="1" t="s">
        <v>194</v>
      </c>
      <c r="C28" s="315">
        <f>IF(Antriebsart2="Vollelektrisch (BEV)",0,IFERROR(VLOOKUP(Energie2,EnKostList,6,FALSE),0)*IF(Antriebsart2="Plug-In-Hybrid (PHEV)",VerbPHEV2,Verbrauch2)/100*Fahrleistung)</f>
        <v>1493.1</v>
      </c>
      <c r="D28" s="2" t="s">
        <v>195</v>
      </c>
      <c r="E28" s="137"/>
      <c r="F28" s="137"/>
    </row>
    <row r="29" spans="1:6" x14ac:dyDescent="0.25">
      <c r="B29" s="1" t="s">
        <v>66</v>
      </c>
      <c r="C29" s="315">
        <f>IF(Antriebsart2="Verbrenner",0,VLOOKUP("Strom",EnKostList,6,FALSE)*IF(Antriebsart2="Plug-In-Hybrid (PHEV)",VerbElPHEV2,VerbEl_WLTP2)/100*Fahrleistung)</f>
        <v>0</v>
      </c>
      <c r="D29" s="2" t="s">
        <v>195</v>
      </c>
      <c r="E29" s="137"/>
      <c r="F29" s="137"/>
    </row>
    <row r="30" spans="1:6" ht="14.4" thickBot="1" x14ac:dyDescent="0.3">
      <c r="B30" s="66" t="s">
        <v>125</v>
      </c>
      <c r="C30" s="316">
        <f>SUM(C28:C29)</f>
        <v>1493.1</v>
      </c>
      <c r="D30" s="66" t="s">
        <v>195</v>
      </c>
      <c r="E30" s="137"/>
      <c r="F30" s="137"/>
    </row>
    <row r="31" spans="1:6" ht="14.4" thickTop="1" x14ac:dyDescent="0.25">
      <c r="C31" s="10"/>
      <c r="D31" s="2"/>
      <c r="E31" s="137"/>
      <c r="F31" s="137"/>
    </row>
    <row r="32" spans="1:6" x14ac:dyDescent="0.25">
      <c r="B32" s="62" t="s">
        <v>196</v>
      </c>
      <c r="C32" s="160" t="str">
        <f>CONCATENATE("Energieträger: ",Energie2)</f>
        <v>Energieträger: Diesel</v>
      </c>
      <c r="D32" s="62"/>
      <c r="E32" s="137"/>
      <c r="F32" s="137"/>
    </row>
    <row r="33" spans="1:6" ht="16.2" x14ac:dyDescent="0.35">
      <c r="B33" s="1" t="s">
        <v>197</v>
      </c>
      <c r="C33" s="315">
        <f>IF(Antriebsart2="Plug-In-Hybrid (PHEV)",VerbPHEV2*VLOOKUP(Energie2,CO2List,2,FALSE)/100,CO2_2)*Fahrleistung/1000000</f>
        <v>2.34</v>
      </c>
      <c r="D33" s="2" t="s">
        <v>198</v>
      </c>
      <c r="E33" s="137"/>
      <c r="F33" s="137"/>
    </row>
    <row r="34" spans="1:6" x14ac:dyDescent="0.25">
      <c r="B34" s="1" t="s">
        <v>172</v>
      </c>
      <c r="C34" s="315">
        <f>C33*Kost_THG</f>
        <v>1170</v>
      </c>
      <c r="D34" s="2" t="s">
        <v>195</v>
      </c>
      <c r="E34" s="137"/>
      <c r="F34" s="137"/>
    </row>
    <row r="35" spans="1:6" x14ac:dyDescent="0.25">
      <c r="B35" s="7" t="s">
        <v>199</v>
      </c>
      <c r="C35" s="324">
        <f>IF(Energie2="Strom",0,NOX_2*Fahrleistung*Kost_NOX/1000)</f>
        <v>15.04</v>
      </c>
      <c r="D35" s="67" t="s">
        <v>195</v>
      </c>
      <c r="E35" s="137"/>
      <c r="F35" s="137"/>
    </row>
    <row r="36" spans="1:6" x14ac:dyDescent="0.25">
      <c r="B36" s="7" t="s">
        <v>106</v>
      </c>
      <c r="C36" s="324">
        <f>IF(Energie2="Strom",0,Partikel2*Fahrleistung*Kost_Partikel/1000)</f>
        <v>0.6</v>
      </c>
      <c r="D36" s="67" t="s">
        <v>195</v>
      </c>
      <c r="E36" s="137"/>
      <c r="F36" s="137"/>
    </row>
    <row r="37" spans="1:6" ht="14.4" thickBot="1" x14ac:dyDescent="0.3">
      <c r="B37" s="66" t="s">
        <v>125</v>
      </c>
      <c r="C37" s="316">
        <f>SUM(C34:C36)</f>
        <v>1185.6399999999999</v>
      </c>
      <c r="D37" s="66" t="s">
        <v>195</v>
      </c>
      <c r="E37" s="137"/>
      <c r="F37" s="137"/>
    </row>
    <row r="38" spans="1:6" ht="14.4" thickTop="1" x14ac:dyDescent="0.25">
      <c r="B38" s="14"/>
      <c r="D38" s="2"/>
      <c r="E38" s="137"/>
      <c r="F38" s="137"/>
    </row>
    <row r="39" spans="1:6" x14ac:dyDescent="0.25">
      <c r="B39" s="62" t="s">
        <v>200</v>
      </c>
      <c r="C39" s="160" t="str">
        <f>CONCATENATE("Energieträger: ",Energie2,IF(Antriebsart2="Plug-In-Hybrid (PHEV)","+Strom",""))</f>
        <v>Energieträger: Diesel</v>
      </c>
      <c r="D39" s="62"/>
      <c r="E39" s="137"/>
      <c r="F39" s="137"/>
    </row>
    <row r="40" spans="1:6" ht="16.2" x14ac:dyDescent="0.35">
      <c r="B40" s="1" t="s">
        <v>197</v>
      </c>
      <c r="C40" s="315">
        <f>IFERROR(IF(Antriebsart2="Vollelektrisch (BEV)",VLOOKUP("Strom",CO2List,3,FALSE)*VerbEl_WLTP2/100*Fahrleistung/1000000,IF(Antriebsart2="Verbrenner",VLOOKUP(Energie2,CO2List,3,FALSE)*Verbrauch2/100*Fahrleistung/1000000,VLOOKUP(Energie2,CO2List,3,FALSE)*VerbPHEV2/100*Fahrleistung/1000000+VLOOKUP("Strom",CO2List,3,FALSE)*VerbElPHEV2/100*Fahrleistung/1000000)),0)</f>
        <v>0.51009983999999997</v>
      </c>
      <c r="D40" s="2" t="s">
        <v>198</v>
      </c>
      <c r="E40" s="137"/>
      <c r="F40" s="137"/>
    </row>
    <row r="41" spans="1:6" x14ac:dyDescent="0.25">
      <c r="B41" s="1" t="s">
        <v>201</v>
      </c>
      <c r="C41" s="315">
        <f>C40*Kost_THG</f>
        <v>255.04991999999999</v>
      </c>
      <c r="D41" s="2" t="s">
        <v>195</v>
      </c>
      <c r="E41" s="137"/>
      <c r="F41" s="137"/>
    </row>
    <row r="42" spans="1:6" x14ac:dyDescent="0.25">
      <c r="E42" s="137"/>
      <c r="F42" s="137"/>
    </row>
    <row r="43" spans="1:6" x14ac:dyDescent="0.25">
      <c r="B43" s="3" t="s">
        <v>202</v>
      </c>
      <c r="C43" s="3"/>
      <c r="D43" s="3"/>
      <c r="E43" s="137"/>
      <c r="F43" s="137"/>
    </row>
    <row r="44" spans="1:6" x14ac:dyDescent="0.25">
      <c r="B44" s="69"/>
      <c r="C44" s="69"/>
      <c r="D44" s="69"/>
      <c r="E44" s="137"/>
      <c r="F44" s="137"/>
    </row>
    <row r="45" spans="1:6" s="70" customFormat="1" x14ac:dyDescent="0.25">
      <c r="A45" s="119"/>
      <c r="B45" s="101" t="s">
        <v>203</v>
      </c>
      <c r="C45" s="146" t="s">
        <v>204</v>
      </c>
      <c r="D45" s="64"/>
      <c r="E45" s="137"/>
      <c r="F45" s="137"/>
    </row>
    <row r="46" spans="1:6" s="70" customFormat="1" ht="16.2" x14ac:dyDescent="0.25">
      <c r="A46" s="345" t="s">
        <v>17</v>
      </c>
      <c r="B46" s="384" t="s">
        <v>197</v>
      </c>
      <c r="C46" s="317">
        <f>IF(OR(Antriebsart2="Vollelektrisch (BEV)",Antriebsart2="Plug-In-Hybrid (PHEV)"),Batterie2*Batterie_THG/1000,0)</f>
        <v>0</v>
      </c>
      <c r="D46" s="143" t="s">
        <v>205</v>
      </c>
      <c r="E46" s="139"/>
      <c r="F46" s="137"/>
    </row>
    <row r="47" spans="1:6" s="70" customFormat="1" ht="16.2" x14ac:dyDescent="0.25">
      <c r="A47" s="345"/>
      <c r="B47" s="385"/>
      <c r="C47" s="317">
        <f>IF((Fahrleistung*16)&lt;220000,C46*10^6/(Fahrleistung*16),C46*10^6/220000)</f>
        <v>0</v>
      </c>
      <c r="D47" s="142" t="s">
        <v>206</v>
      </c>
      <c r="E47" s="139"/>
      <c r="F47" s="137"/>
    </row>
    <row r="48" spans="1:6" x14ac:dyDescent="0.25">
      <c r="B48" s="1" t="s">
        <v>207</v>
      </c>
      <c r="C48" s="315">
        <f>IF(C47*Fahrleistung/10^6*Haltedauer&lt;C46, C47*Fahrleistung/10^6*Kost_THG, C46/Haltedauer*Kost_THG)</f>
        <v>0</v>
      </c>
      <c r="D48" s="2" t="s">
        <v>195</v>
      </c>
      <c r="E48" s="137"/>
      <c r="F48" s="137"/>
    </row>
    <row r="49" spans="1:6" x14ac:dyDescent="0.25">
      <c r="D49" s="2"/>
      <c r="E49" s="137"/>
      <c r="F49" s="137"/>
    </row>
    <row r="50" spans="1:6" x14ac:dyDescent="0.25">
      <c r="E50" s="137"/>
      <c r="F50" s="137"/>
    </row>
    <row r="51" spans="1:6" x14ac:dyDescent="0.25">
      <c r="B51" s="3" t="str">
        <f>CONCATENATE("Lebenszykluskosten"," (Haltedauer: ",Haltedauer," Jahre)")</f>
        <v>Lebenszykluskosten (Haltedauer: 7 Jahre)</v>
      </c>
      <c r="C51" s="100"/>
      <c r="D51" s="100"/>
    </row>
    <row r="52" spans="1:6" x14ac:dyDescent="0.25">
      <c r="B52" s="1" t="s">
        <v>208</v>
      </c>
    </row>
    <row r="54" spans="1:6" s="73" customFormat="1" ht="14.4" x14ac:dyDescent="0.3">
      <c r="A54" s="1"/>
      <c r="B54" s="71" t="s">
        <v>209</v>
      </c>
      <c r="C54" s="318">
        <f>IF(FinArt="Kauf",IF(KaufpreisRech="Kaufpreis",Gesamtpreis2,0),Gesamtpreis2*Haltedauer*12+IF(FinArt="Leasing",LeasSondZahl2,0))</f>
        <v>0</v>
      </c>
      <c r="D54" s="71" t="s">
        <v>96</v>
      </c>
      <c r="E54" s="72"/>
      <c r="F54" s="60"/>
    </row>
    <row r="55" spans="1:6" s="74" customFormat="1" x14ac:dyDescent="0.25">
      <c r="A55" s="1"/>
      <c r="B55" s="1" t="s">
        <v>210</v>
      </c>
      <c r="C55" s="319">
        <f>IF(AND(KaufpreisRech="Wertminderung",FinArt="Kauf"),Gesamtpreis2-Gesamtpreis2*(-0.2*LN(Haltedauer)+0.667),0)</f>
        <v>22604.297533086261</v>
      </c>
      <c r="D55" s="1" t="s">
        <v>96</v>
      </c>
      <c r="E55" s="137"/>
      <c r="F55" s="76"/>
    </row>
    <row r="56" spans="1:6" x14ac:dyDescent="0.25">
      <c r="B56" s="1" t="s">
        <v>121</v>
      </c>
      <c r="C56" s="319">
        <f>C30*Haltedauer</f>
        <v>10451.699999999999</v>
      </c>
      <c r="D56" s="1" t="s">
        <v>96</v>
      </c>
      <c r="F56" s="76"/>
    </row>
    <row r="57" spans="1:6" x14ac:dyDescent="0.25">
      <c r="B57" s="1" t="s">
        <v>211</v>
      </c>
      <c r="C57" s="319">
        <f>C37*Haltedauer</f>
        <v>8299.48</v>
      </c>
      <c r="D57" s="1" t="s">
        <v>96</v>
      </c>
      <c r="F57" s="60"/>
    </row>
    <row r="58" spans="1:6" x14ac:dyDescent="0.25">
      <c r="B58" s="1" t="s">
        <v>201</v>
      </c>
      <c r="C58" s="319">
        <f>C41*Haltedauer</f>
        <v>1785.34944</v>
      </c>
      <c r="D58" s="1" t="s">
        <v>96</v>
      </c>
      <c r="F58" s="60"/>
    </row>
    <row r="59" spans="1:6" x14ac:dyDescent="0.25">
      <c r="B59" s="75" t="s">
        <v>124</v>
      </c>
      <c r="C59" s="320">
        <f>C48*Haltedauer</f>
        <v>0</v>
      </c>
      <c r="D59" s="75" t="s">
        <v>96</v>
      </c>
      <c r="F59" s="162"/>
    </row>
    <row r="60" spans="1:6" ht="14.4" thickBot="1" x14ac:dyDescent="0.3">
      <c r="B60" s="66" t="s">
        <v>125</v>
      </c>
      <c r="C60" s="321">
        <f>SUM(C54:C59)</f>
        <v>43140.826973086259</v>
      </c>
      <c r="D60" s="66" t="s">
        <v>96</v>
      </c>
      <c r="E60" s="14"/>
      <c r="F60" s="60"/>
    </row>
    <row r="61" spans="1:6" s="61" customFormat="1" ht="14.4" thickTop="1" x14ac:dyDescent="0.25">
      <c r="A61" s="1"/>
      <c r="B61" s="1"/>
      <c r="C61" s="10"/>
      <c r="D61" s="1"/>
      <c r="E61" s="14"/>
      <c r="F61" s="1"/>
    </row>
    <row r="62" spans="1:6" ht="16.2" x14ac:dyDescent="0.35">
      <c r="B62" s="71" t="s">
        <v>212</v>
      </c>
      <c r="C62" s="322">
        <f>IF(C47*Fahrleistung/10^6*Haltedauer&lt;C46, C47*Fahrleistung/10^6*Haltedauer, C46)</f>
        <v>0</v>
      </c>
      <c r="D62" s="71" t="s">
        <v>213</v>
      </c>
    </row>
    <row r="63" spans="1:6" ht="16.2" x14ac:dyDescent="0.35">
      <c r="B63" s="75" t="s">
        <v>130</v>
      </c>
      <c r="C63" s="323">
        <f>C33*Haltedauer+C40*Haltedauer</f>
        <v>19.950698879999997</v>
      </c>
      <c r="D63" s="75" t="s">
        <v>213</v>
      </c>
      <c r="E63" s="74"/>
    </row>
  </sheetData>
  <sheetProtection sheet="1" objects="1" scenarios="1"/>
  <mergeCells count="4">
    <mergeCell ref="A46:A47"/>
    <mergeCell ref="B46:B47"/>
    <mergeCell ref="B22:B23"/>
    <mergeCell ref="A22:A23"/>
  </mergeCells>
  <conditionalFormatting sqref="A16:D23">
    <cfRule type="expression" dxfId="3" priority="3">
      <formula>Antriebsart2&lt;&gt;"Plug-In-Hybrid (PHEV)"</formula>
    </cfRule>
  </conditionalFormatting>
  <hyperlinks>
    <hyperlink ref="E2" location="Anleitung!A1" display="zurück zu &quot;Anleitung&quot;" xr:uid="{00000000-0004-0000-0700-000000000000}"/>
  </hyperlinks>
  <pageMargins left="0.25" right="0.25" top="0.75" bottom="0.75" header="0.3" footer="0.3"/>
  <pageSetup paperSize="9" scale="8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63"/>
  <sheetViews>
    <sheetView showGridLines="0" zoomScaleNormal="100" workbookViewId="0"/>
  </sheetViews>
  <sheetFormatPr baseColWidth="10" defaultColWidth="11.5546875" defaultRowHeight="13.8" x14ac:dyDescent="0.25"/>
  <cols>
    <col min="1" max="1" width="5.33203125" style="1" customWidth="1"/>
    <col min="2" max="2" width="61.6640625" style="1" customWidth="1"/>
    <col min="3" max="3" width="17.6640625" style="1" customWidth="1"/>
    <col min="4" max="4" width="18.33203125" style="1" customWidth="1"/>
    <col min="5" max="5" width="11.5546875" style="1"/>
    <col min="6" max="6" width="25.33203125" style="1" hidden="1" customWidth="1"/>
    <col min="7" max="16384" width="11.5546875" style="1"/>
  </cols>
  <sheetData>
    <row r="1" spans="1:6" x14ac:dyDescent="0.25">
      <c r="E1" s="137"/>
      <c r="F1" s="137"/>
    </row>
    <row r="2" spans="1:6" x14ac:dyDescent="0.25">
      <c r="B2" s="2" t="s">
        <v>215</v>
      </c>
      <c r="E2" s="118" t="s">
        <v>28</v>
      </c>
      <c r="F2" s="137"/>
    </row>
    <row r="3" spans="1:6" x14ac:dyDescent="0.25">
      <c r="E3" s="137"/>
      <c r="F3" s="137"/>
    </row>
    <row r="4" spans="1:6" x14ac:dyDescent="0.25">
      <c r="B4" s="3" t="s">
        <v>183</v>
      </c>
      <c r="C4" s="3"/>
      <c r="D4" s="3"/>
      <c r="E4" s="137"/>
      <c r="F4" s="137"/>
    </row>
    <row r="5" spans="1:6" x14ac:dyDescent="0.25">
      <c r="E5" s="137"/>
      <c r="F5" s="137" t="str">
        <f>IF(Antriebsart3="Vollelektrisch (BEV)","Strom","nicht verfügbar")</f>
        <v>nicht verfügbar</v>
      </c>
    </row>
    <row r="6" spans="1:6" x14ac:dyDescent="0.25">
      <c r="B6" s="2" t="s">
        <v>60</v>
      </c>
      <c r="C6" s="56">
        <v>3</v>
      </c>
      <c r="E6" s="137"/>
      <c r="F6" s="137" t="str">
        <f>IF(OR(Antriebsart3="Verbrenner",Antriebsart3="Plug-In-Hybrid (PHEV)"),"Diesel","nicht verfügbar")</f>
        <v>Diesel</v>
      </c>
    </row>
    <row r="7" spans="1:6" x14ac:dyDescent="0.25">
      <c r="B7" s="1" t="s">
        <v>69</v>
      </c>
      <c r="C7" s="114" t="str">
        <f>IF(Anbieter3=0,"",Anbieter3)</f>
        <v>C</v>
      </c>
      <c r="E7" s="137"/>
      <c r="F7" s="137" t="str">
        <f>IF(OR(Antriebsart3="Verbrenner",Antriebsart3="Plug-In-Hybrid (PHEV)"),"Benzin","nicht verfügbar")</f>
        <v>Benzin</v>
      </c>
    </row>
    <row r="8" spans="1:6" x14ac:dyDescent="0.25">
      <c r="C8" s="114"/>
      <c r="E8" s="137"/>
      <c r="F8" s="137" t="str">
        <f>IF(Antriebsart3="Verbrenner","Erdgas (CNG)","nicht verfügbar")</f>
        <v>Erdgas (CNG)</v>
      </c>
    </row>
    <row r="9" spans="1:6" x14ac:dyDescent="0.25">
      <c r="B9" s="2" t="s">
        <v>184</v>
      </c>
      <c r="C9" s="114"/>
      <c r="E9" s="137"/>
      <c r="F9" s="137"/>
    </row>
    <row r="10" spans="1:6" x14ac:dyDescent="0.25">
      <c r="B10" s="1" t="s">
        <v>185</v>
      </c>
      <c r="C10" s="114" t="str">
        <f>IF(Hersteller3=0,"",Hersteller3)</f>
        <v>Opel</v>
      </c>
      <c r="D10" s="57"/>
      <c r="E10" s="137"/>
      <c r="F10" s="137"/>
    </row>
    <row r="11" spans="1:6" x14ac:dyDescent="0.25">
      <c r="B11" s="1" t="s">
        <v>81</v>
      </c>
      <c r="C11" s="114" t="str">
        <f>IF(Modell3=0,"",Modell3)</f>
        <v>Astra 1.5 Diesel</v>
      </c>
      <c r="D11" s="57"/>
      <c r="E11" s="137"/>
      <c r="F11" s="137"/>
    </row>
    <row r="12" spans="1:6" ht="43.95" customHeight="1" x14ac:dyDescent="0.25">
      <c r="B12" s="58" t="s">
        <v>186</v>
      </c>
      <c r="C12" s="114" t="str">
        <f>IF(Zusatzinfo3=0,"",Zusatzinfo3)</f>
        <v>Business Elegance</v>
      </c>
      <c r="D12" s="57"/>
      <c r="E12" s="137"/>
      <c r="F12" s="137"/>
    </row>
    <row r="13" spans="1:6" x14ac:dyDescent="0.25">
      <c r="B13" s="59" t="s">
        <v>61</v>
      </c>
      <c r="C13" s="114" t="str">
        <f>IF(Antriebsart3=0,"",Antriebsart3)</f>
        <v>Verbrenner</v>
      </c>
      <c r="E13" s="137"/>
      <c r="F13" s="137"/>
    </row>
    <row r="14" spans="1:6" x14ac:dyDescent="0.25">
      <c r="B14" s="2" t="s">
        <v>65</v>
      </c>
      <c r="C14" s="114" t="str">
        <f>IF(Energie3=0,"",Energie3)</f>
        <v>Diesel</v>
      </c>
      <c r="D14" s="99"/>
      <c r="E14" s="137"/>
      <c r="F14" s="137"/>
    </row>
    <row r="15" spans="1:6" s="137" customFormat="1" ht="14.4" x14ac:dyDescent="0.25">
      <c r="A15" s="138"/>
      <c r="C15" s="139"/>
    </row>
    <row r="16" spans="1:6" x14ac:dyDescent="0.25">
      <c r="B16" s="3" t="s">
        <v>187</v>
      </c>
      <c r="C16" s="3"/>
      <c r="D16" s="3"/>
      <c r="E16" s="137"/>
      <c r="F16" s="137"/>
    </row>
    <row r="17" spans="1:6" x14ac:dyDescent="0.25">
      <c r="B17" s="69"/>
      <c r="C17" s="69"/>
      <c r="D17" s="69"/>
      <c r="E17" s="137"/>
      <c r="F17" s="137"/>
    </row>
    <row r="18" spans="1:6" x14ac:dyDescent="0.25">
      <c r="B18" s="75" t="s">
        <v>188</v>
      </c>
      <c r="C18" s="325">
        <f>0.0057*(ReichwPHEV3/23)^3-0.0838*(ReichwPHEV3/23)^2+0.4261*(ReichwPHEV3/23)+ 0.1633</f>
        <v>0.1633</v>
      </c>
      <c r="D18" s="200"/>
      <c r="E18" s="137"/>
      <c r="F18" s="137"/>
    </row>
    <row r="19" spans="1:6" x14ac:dyDescent="0.25">
      <c r="B19" s="1" t="s">
        <v>189</v>
      </c>
      <c r="C19" s="326">
        <f>Verbrauch3/(1-0.9*C18)</f>
        <v>5.0408543662004854</v>
      </c>
      <c r="D19" s="7" t="s">
        <v>100</v>
      </c>
      <c r="E19" s="137"/>
      <c r="F19" s="137"/>
    </row>
    <row r="20" spans="1:6" x14ac:dyDescent="0.25">
      <c r="B20" s="75" t="s">
        <v>190</v>
      </c>
      <c r="C20" s="327">
        <f>VerbEl_WLTP3/C18</f>
        <v>0</v>
      </c>
      <c r="D20" s="200" t="s">
        <v>101</v>
      </c>
      <c r="E20" s="137"/>
      <c r="F20" s="137"/>
    </row>
    <row r="21" spans="1:6" x14ac:dyDescent="0.25">
      <c r="B21" s="202" t="s">
        <v>191</v>
      </c>
      <c r="C21" s="328">
        <f>0.0021*(ReichwPHEV3/23)^3-0.0358*(ReichwPHEV3/23)^2+0.2607*(ReichwPHEV3/23)- 0.0267</f>
        <v>-2.6700000000000002E-2</v>
      </c>
      <c r="D21" s="203"/>
      <c r="E21" s="137"/>
      <c r="F21" s="137"/>
    </row>
    <row r="22" spans="1:6" x14ac:dyDescent="0.25">
      <c r="A22" s="387" t="s">
        <v>17</v>
      </c>
      <c r="B22" s="386" t="s">
        <v>192</v>
      </c>
      <c r="C22" s="329">
        <f>C19*(1-0.9*C21)</f>
        <v>5.1619860966202831</v>
      </c>
      <c r="D22" s="201" t="s">
        <v>100</v>
      </c>
      <c r="E22" s="137"/>
      <c r="F22" s="137"/>
    </row>
    <row r="23" spans="1:6" x14ac:dyDescent="0.25">
      <c r="A23" s="387"/>
      <c r="B23" s="371"/>
      <c r="C23" s="329">
        <f>C20*C21</f>
        <v>0</v>
      </c>
      <c r="D23" s="199" t="s">
        <v>101</v>
      </c>
      <c r="E23" s="137"/>
      <c r="F23" s="137"/>
    </row>
    <row r="24" spans="1:6" s="137" customFormat="1" ht="14.4" x14ac:dyDescent="0.25">
      <c r="A24" s="138"/>
      <c r="C24" s="197"/>
      <c r="D24" s="7"/>
    </row>
    <row r="25" spans="1:6" x14ac:dyDescent="0.25">
      <c r="B25" s="3" t="s">
        <v>193</v>
      </c>
      <c r="C25" s="3"/>
      <c r="D25" s="3"/>
      <c r="E25" s="137"/>
      <c r="F25" s="137"/>
    </row>
    <row r="26" spans="1:6" x14ac:dyDescent="0.25">
      <c r="E26" s="137"/>
      <c r="F26" s="137"/>
    </row>
    <row r="27" spans="1:6" x14ac:dyDescent="0.25">
      <c r="B27" s="62" t="s">
        <v>121</v>
      </c>
      <c r="C27" s="63"/>
      <c r="D27" s="62"/>
      <c r="E27" s="137"/>
      <c r="F27" s="137"/>
    </row>
    <row r="28" spans="1:6" x14ac:dyDescent="0.25">
      <c r="B28" s="1" t="s">
        <v>194</v>
      </c>
      <c r="C28" s="315">
        <f>IF(Antriebsart3="Vollelektrisch (BEV)",0,IFERROR(VLOOKUP(Energie3,EnKostList,6,FALSE),0)*IF(Antriebsart3="Plug-In-Hybrid (PHEV)",VerbPHEV3,Verbrauch3)/100*Fahrleistung)</f>
        <v>1426.74</v>
      </c>
      <c r="D28" s="2" t="s">
        <v>195</v>
      </c>
      <c r="E28" s="137"/>
      <c r="F28" s="137"/>
    </row>
    <row r="29" spans="1:6" x14ac:dyDescent="0.25">
      <c r="B29" s="1" t="s">
        <v>66</v>
      </c>
      <c r="C29" s="315">
        <f>IF(Antriebsart3="Verbrenner",0,VLOOKUP("Strom",EnKostList,6,FALSE)*IF(Antriebsart3="Plug-In-Hybrid (PHEV)",VerbElPHEV3,VerbEl_WLTP3)/100*Fahrleistung)</f>
        <v>0</v>
      </c>
      <c r="D29" s="2" t="s">
        <v>195</v>
      </c>
      <c r="E29" s="137"/>
      <c r="F29" s="137"/>
    </row>
    <row r="30" spans="1:6" ht="14.4" thickBot="1" x14ac:dyDescent="0.3">
      <c r="B30" s="66" t="s">
        <v>125</v>
      </c>
      <c r="C30" s="316">
        <f>SUM(C28:C29)</f>
        <v>1426.74</v>
      </c>
      <c r="D30" s="66" t="s">
        <v>195</v>
      </c>
      <c r="E30" s="137"/>
      <c r="F30" s="137"/>
    </row>
    <row r="31" spans="1:6" ht="14.4" thickTop="1" x14ac:dyDescent="0.25">
      <c r="C31" s="10"/>
      <c r="D31" s="2"/>
      <c r="E31" s="137"/>
      <c r="F31" s="137"/>
    </row>
    <row r="32" spans="1:6" x14ac:dyDescent="0.25">
      <c r="B32" s="62" t="s">
        <v>196</v>
      </c>
      <c r="C32" s="160" t="str">
        <f>CONCATENATE("Energieträger: ",Energie3)</f>
        <v>Energieträger: Diesel</v>
      </c>
      <c r="D32" s="62"/>
      <c r="E32" s="137"/>
      <c r="F32" s="137"/>
    </row>
    <row r="33" spans="1:6" ht="16.2" x14ac:dyDescent="0.35">
      <c r="B33" s="1" t="s">
        <v>197</v>
      </c>
      <c r="C33" s="315">
        <f>IF(Antriebsart3="Plug-In-Hybrid (PHEV)",VerbPHEV3*VLOOKUP(Energie3,CO2List,2,FALSE)/100,CO2_3)*Fahrleistung/1000000</f>
        <v>2.2599999999999998</v>
      </c>
      <c r="D33" s="2" t="s">
        <v>198</v>
      </c>
      <c r="E33" s="137"/>
      <c r="F33" s="137"/>
    </row>
    <row r="34" spans="1:6" x14ac:dyDescent="0.25">
      <c r="B34" s="1" t="s">
        <v>172</v>
      </c>
      <c r="C34" s="315">
        <f>C33*Kost_THG</f>
        <v>1130</v>
      </c>
      <c r="D34" s="2" t="s">
        <v>195</v>
      </c>
      <c r="E34" s="137"/>
      <c r="F34" s="137"/>
    </row>
    <row r="35" spans="1:6" x14ac:dyDescent="0.25">
      <c r="B35" s="7" t="s">
        <v>199</v>
      </c>
      <c r="C35" s="324">
        <f>IF(Energie3="Strom",0,NOX_3*Fahrleistung*Kost_NOX/1000)</f>
        <v>21.52</v>
      </c>
      <c r="D35" s="67" t="s">
        <v>195</v>
      </c>
      <c r="E35" s="137"/>
      <c r="F35" s="137"/>
    </row>
    <row r="36" spans="1:6" x14ac:dyDescent="0.25">
      <c r="B36" s="7" t="s">
        <v>106</v>
      </c>
      <c r="C36" s="324">
        <f>IF(Energie3="Strom",0,Partikel3*Fahrleistung*Kost_Partikel/1000)</f>
        <v>0.63</v>
      </c>
      <c r="D36" s="67" t="s">
        <v>195</v>
      </c>
      <c r="E36" s="137"/>
      <c r="F36" s="137"/>
    </row>
    <row r="37" spans="1:6" ht="14.4" thickBot="1" x14ac:dyDescent="0.3">
      <c r="B37" s="66" t="s">
        <v>125</v>
      </c>
      <c r="C37" s="316">
        <f>SUM(C34:C36)</f>
        <v>1152.1500000000001</v>
      </c>
      <c r="D37" s="66" t="s">
        <v>195</v>
      </c>
      <c r="E37" s="137"/>
      <c r="F37" s="137"/>
    </row>
    <row r="38" spans="1:6" ht="14.4" thickTop="1" x14ac:dyDescent="0.25">
      <c r="B38" s="14"/>
      <c r="D38" s="2"/>
      <c r="E38" s="137"/>
      <c r="F38" s="137"/>
    </row>
    <row r="39" spans="1:6" x14ac:dyDescent="0.25">
      <c r="B39" s="62" t="s">
        <v>200</v>
      </c>
      <c r="C39" s="160" t="str">
        <f>CONCATENATE("Energieträger: ",Energie3,IF(Antriebsart3="Plug-In-Hybrid (PHEV)","+Strom",""))</f>
        <v>Energieträger: Diesel</v>
      </c>
      <c r="D39" s="62"/>
      <c r="E39" s="137"/>
      <c r="F39" s="137"/>
    </row>
    <row r="40" spans="1:6" ht="16.2" x14ac:dyDescent="0.35">
      <c r="B40" s="1" t="s">
        <v>197</v>
      </c>
      <c r="C40" s="315">
        <f>IFERROR(IF(Antriebsart3="Vollelektrisch (BEV)",VLOOKUP("Strom",CO2List,3,FALSE)*VerbEl_WLTP3/100*Fahrleistung/1000000,IF(Antriebsart3="Verbrenner",VLOOKUP(Energie3,CO2List,3,FALSE)*Verbrauch3/100*Fahrleistung/1000000,VLOOKUP(Energie3,CO2List,3,FALSE)*VerbPHEV3/100*Fahrleistung/1000000+VLOOKUP("Strom",CO2List,3,FALSE)*VerbElPHEV3/100*Fahrleistung/1000000)),0)</f>
        <v>0.48742873600000003</v>
      </c>
      <c r="D40" s="2" t="s">
        <v>198</v>
      </c>
      <c r="E40" s="137"/>
      <c r="F40" s="137"/>
    </row>
    <row r="41" spans="1:6" x14ac:dyDescent="0.25">
      <c r="B41" s="1" t="s">
        <v>201</v>
      </c>
      <c r="C41" s="315">
        <f>C40*Kost_THG</f>
        <v>243.71436800000001</v>
      </c>
      <c r="D41" s="2" t="s">
        <v>195</v>
      </c>
      <c r="E41" s="137"/>
      <c r="F41" s="137"/>
    </row>
    <row r="42" spans="1:6" x14ac:dyDescent="0.25">
      <c r="E42" s="137"/>
      <c r="F42" s="137"/>
    </row>
    <row r="43" spans="1:6" x14ac:dyDescent="0.25">
      <c r="B43" s="3" t="s">
        <v>202</v>
      </c>
      <c r="C43" s="3"/>
      <c r="D43" s="3"/>
      <c r="E43" s="137"/>
      <c r="F43" s="137"/>
    </row>
    <row r="44" spans="1:6" x14ac:dyDescent="0.25">
      <c r="B44" s="69"/>
      <c r="C44" s="69"/>
      <c r="D44" s="69"/>
      <c r="E44" s="137"/>
      <c r="F44" s="137"/>
    </row>
    <row r="45" spans="1:6" s="70" customFormat="1" x14ac:dyDescent="0.25">
      <c r="A45" s="119"/>
      <c r="B45" s="101" t="s">
        <v>203</v>
      </c>
      <c r="C45" s="146" t="s">
        <v>204</v>
      </c>
      <c r="D45" s="64"/>
      <c r="E45" s="137"/>
      <c r="F45" s="137"/>
    </row>
    <row r="46" spans="1:6" s="70" customFormat="1" ht="16.2" x14ac:dyDescent="0.25">
      <c r="A46" s="345" t="s">
        <v>17</v>
      </c>
      <c r="B46" s="384" t="s">
        <v>197</v>
      </c>
      <c r="C46" s="317">
        <f>IF(OR(Antriebsart3="Vollelektrisch (BEV)",Antriebsart3="Plug-In-Hybrid (PHEV)"),Batterie3*Batterie_THG/1000,0)</f>
        <v>0</v>
      </c>
      <c r="D46" s="143" t="s">
        <v>205</v>
      </c>
      <c r="E46" s="139"/>
      <c r="F46" s="145"/>
    </row>
    <row r="47" spans="1:6" s="70" customFormat="1" ht="16.2" x14ac:dyDescent="0.25">
      <c r="A47" s="345"/>
      <c r="B47" s="385"/>
      <c r="C47" s="317">
        <f>IF((Fahrleistung*16)&lt;220000,C46*10^6/(Fahrleistung*16),C46*10^6/220000)</f>
        <v>0</v>
      </c>
      <c r="D47" s="142" t="s">
        <v>206</v>
      </c>
      <c r="E47" s="139"/>
      <c r="F47" s="145"/>
    </row>
    <row r="48" spans="1:6" x14ac:dyDescent="0.25">
      <c r="B48" s="1" t="s">
        <v>207</v>
      </c>
      <c r="C48" s="315">
        <f>IF(C47*Fahrleistung/10^6*Haltedauer&lt;C46, C47*Fahrleistung/10^6*Kost_THG, C46/Haltedauer*Kost_THG)</f>
        <v>0</v>
      </c>
      <c r="D48" s="2" t="s">
        <v>195</v>
      </c>
      <c r="E48" s="137"/>
      <c r="F48" s="137"/>
    </row>
    <row r="49" spans="1:6" x14ac:dyDescent="0.25">
      <c r="D49" s="2"/>
      <c r="E49" s="137"/>
      <c r="F49" s="137"/>
    </row>
    <row r="50" spans="1:6" x14ac:dyDescent="0.25">
      <c r="E50" s="137"/>
      <c r="F50" s="137"/>
    </row>
    <row r="51" spans="1:6" x14ac:dyDescent="0.25">
      <c r="B51" s="3" t="str">
        <f>CONCATENATE("Lebenszykluskosten"," (Haltedauer: ",Haltedauer," Jahre)")</f>
        <v>Lebenszykluskosten (Haltedauer: 7 Jahre)</v>
      </c>
      <c r="C51" s="100"/>
      <c r="D51" s="100"/>
    </row>
    <row r="52" spans="1:6" x14ac:dyDescent="0.25">
      <c r="B52" s="1" t="s">
        <v>208</v>
      </c>
    </row>
    <row r="54" spans="1:6" s="73" customFormat="1" ht="14.4" x14ac:dyDescent="0.3">
      <c r="A54" s="1"/>
      <c r="B54" s="71" t="s">
        <v>209</v>
      </c>
      <c r="C54" s="318">
        <f>IF(FinArt="Kauf",IF(KaufpreisRech="Kaufpreis",Gesamtpreis3,0),Gesamtpreis3*Haltedauer*12+IF(FinArt="Leasing",LeasSondZahl3,0))</f>
        <v>0</v>
      </c>
      <c r="D54" s="71" t="s">
        <v>96</v>
      </c>
      <c r="E54" s="72"/>
      <c r="F54" s="60"/>
    </row>
    <row r="55" spans="1:6" s="74" customFormat="1" x14ac:dyDescent="0.25">
      <c r="A55" s="1"/>
      <c r="B55" s="1" t="s">
        <v>210</v>
      </c>
      <c r="C55" s="319">
        <f>IF(AND(KaufpreisRech="Wertminderung",FinArt="Kauf"),Gesamtpreis3-Gesamtpreis3*(-0.2*LN(Haltedauer)+0.667),0)</f>
        <v>23001.497649482342</v>
      </c>
      <c r="D55" s="1" t="s">
        <v>96</v>
      </c>
      <c r="E55" s="137"/>
      <c r="F55" s="76"/>
    </row>
    <row r="56" spans="1:6" x14ac:dyDescent="0.25">
      <c r="B56" s="1" t="s">
        <v>121</v>
      </c>
      <c r="C56" s="319">
        <f>C30*Haltedauer</f>
        <v>9987.18</v>
      </c>
      <c r="D56" s="1" t="s">
        <v>96</v>
      </c>
      <c r="F56" s="76"/>
    </row>
    <row r="57" spans="1:6" x14ac:dyDescent="0.25">
      <c r="B57" s="1" t="s">
        <v>211</v>
      </c>
      <c r="C57" s="319">
        <f>C37*Haltedauer</f>
        <v>8065.0500000000011</v>
      </c>
      <c r="D57" s="1" t="s">
        <v>96</v>
      </c>
      <c r="F57" s="60"/>
    </row>
    <row r="58" spans="1:6" x14ac:dyDescent="0.25">
      <c r="B58" s="1" t="s">
        <v>201</v>
      </c>
      <c r="C58" s="319">
        <f>C41*Haltedauer</f>
        <v>1706.0005760000001</v>
      </c>
      <c r="D58" s="1" t="s">
        <v>96</v>
      </c>
      <c r="F58" s="60"/>
    </row>
    <row r="59" spans="1:6" x14ac:dyDescent="0.25">
      <c r="B59" s="75" t="s">
        <v>124</v>
      </c>
      <c r="C59" s="320">
        <f>C48*Haltedauer</f>
        <v>0</v>
      </c>
      <c r="D59" s="75" t="s">
        <v>96</v>
      </c>
      <c r="F59" s="162"/>
    </row>
    <row r="60" spans="1:6" ht="14.4" thickBot="1" x14ac:dyDescent="0.3">
      <c r="B60" s="66" t="s">
        <v>125</v>
      </c>
      <c r="C60" s="321">
        <f>SUM(C54:C59)</f>
        <v>42759.728225482344</v>
      </c>
      <c r="D60" s="66" t="s">
        <v>96</v>
      </c>
      <c r="E60" s="14"/>
      <c r="F60" s="60"/>
    </row>
    <row r="61" spans="1:6" s="61" customFormat="1" ht="14.4" thickTop="1" x14ac:dyDescent="0.25">
      <c r="A61" s="1"/>
      <c r="B61" s="1"/>
      <c r="C61" s="10"/>
      <c r="D61" s="1"/>
      <c r="E61" s="14"/>
      <c r="F61" s="1"/>
    </row>
    <row r="62" spans="1:6" ht="16.2" x14ac:dyDescent="0.35">
      <c r="B62" s="71" t="s">
        <v>212</v>
      </c>
      <c r="C62" s="322">
        <f>IF(C47*Fahrleistung/10^6*Haltedauer&lt;C46, C47*Fahrleistung/10^6*Haltedauer, C46)</f>
        <v>0</v>
      </c>
      <c r="D62" s="71" t="s">
        <v>213</v>
      </c>
    </row>
    <row r="63" spans="1:6" ht="16.2" x14ac:dyDescent="0.35">
      <c r="B63" s="75" t="s">
        <v>130</v>
      </c>
      <c r="C63" s="323">
        <f>C33*Haltedauer+C40*Haltedauer</f>
        <v>19.232001151999999</v>
      </c>
      <c r="D63" s="75" t="s">
        <v>213</v>
      </c>
      <c r="E63" s="74"/>
    </row>
  </sheetData>
  <sheetProtection sheet="1" objects="1" scenarios="1"/>
  <mergeCells count="4">
    <mergeCell ref="A46:A47"/>
    <mergeCell ref="B46:B47"/>
    <mergeCell ref="B22:B23"/>
    <mergeCell ref="A22:A23"/>
  </mergeCells>
  <conditionalFormatting sqref="A16:D23">
    <cfRule type="expression" dxfId="2" priority="3">
      <formula>Antriebsart3&lt;&gt;"Plug-In-Hybrid (PHEV)"</formula>
    </cfRule>
  </conditionalFormatting>
  <hyperlinks>
    <hyperlink ref="E2" location="Anleitung!A1" display="zurück zu &quot;Anleitung&quot;" xr:uid="{00000000-0004-0000-0800-000000000000}"/>
  </hyperlinks>
  <pageMargins left="0.25" right="0.25" top="0.75" bottom="0.75" header="0.3" footer="0.3"/>
  <pageSetup paperSize="9" scale="91"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998d7be-1ad0-4716-9c60-ba76cfe9b1f3" xsi:nil="true"/>
    <lcf76f155ced4ddcb4097134ff3c332f xmlns="5e4dc333-02c0-4d6f-a03d-d04a548a7be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A4EC2B1D245C948A7120CE5A36078F8" ma:contentTypeVersion="12" ma:contentTypeDescription="Ein neues Dokument erstellen." ma:contentTypeScope="" ma:versionID="ded47abe6d3759cf0049106b5a3c7542">
  <xsd:schema xmlns:xsd="http://www.w3.org/2001/XMLSchema" xmlns:xs="http://www.w3.org/2001/XMLSchema" xmlns:p="http://schemas.microsoft.com/office/2006/metadata/properties" xmlns:ns2="5e4dc333-02c0-4d6f-a03d-d04a548a7be7" xmlns:ns3="6998d7be-1ad0-4716-9c60-ba76cfe9b1f3" targetNamespace="http://schemas.microsoft.com/office/2006/metadata/properties" ma:root="true" ma:fieldsID="900ca3136c4d3a875f9ac343904324d4" ns2:_="" ns3:_="">
    <xsd:import namespace="5e4dc333-02c0-4d6f-a03d-d04a548a7be7"/>
    <xsd:import namespace="6998d7be-1ad0-4716-9c60-ba76cfe9b1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dc333-02c0-4d6f-a03d-d04a548a7b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7c880037-8306-4d34-9a7c-4fa698df133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998d7be-1ad0-4716-9c60-ba76cfe9b1f3"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80429792-8a2b-42f5-9b3c-1813633e58a8}" ma:internalName="TaxCatchAll" ma:showField="CatchAllData" ma:web="6998d7be-1ad0-4716-9c60-ba76cfe9b1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1615EB-DE44-4BF4-BD1E-846AB7A3DA36}">
  <ds:schemaRefs>
    <ds:schemaRef ds:uri="http://schemas.microsoft.com/office/2006/metadata/properties"/>
    <ds:schemaRef ds:uri="http://schemas.microsoft.com/office/infopath/2007/PartnerControls"/>
    <ds:schemaRef ds:uri="6998d7be-1ad0-4716-9c60-ba76cfe9b1f3"/>
    <ds:schemaRef ds:uri="5e4dc333-02c0-4d6f-a03d-d04a548a7be7"/>
  </ds:schemaRefs>
</ds:datastoreItem>
</file>

<file path=customXml/itemProps2.xml><?xml version="1.0" encoding="utf-8"?>
<ds:datastoreItem xmlns:ds="http://schemas.openxmlformats.org/officeDocument/2006/customXml" ds:itemID="{92A2CDCF-36F6-4C30-8F9B-D45880CB8E7E}">
  <ds:schemaRefs>
    <ds:schemaRef ds:uri="http://schemas.microsoft.com/sharepoint/v3/contenttype/forms"/>
  </ds:schemaRefs>
</ds:datastoreItem>
</file>

<file path=customXml/itemProps3.xml><?xml version="1.0" encoding="utf-8"?>
<ds:datastoreItem xmlns:ds="http://schemas.openxmlformats.org/officeDocument/2006/customXml" ds:itemID="{CB76C395-5440-4689-8D4C-175854932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4dc333-02c0-4d6f-a03d-d04a548a7be7"/>
    <ds:schemaRef ds:uri="6998d7be-1ad0-4716-9c60-ba76cfe9b1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129</vt:i4>
      </vt:variant>
    </vt:vector>
  </HeadingPairs>
  <TitlesOfParts>
    <vt:vector size="144" baseType="lpstr">
      <vt:lpstr>Anleitung</vt:lpstr>
      <vt:lpstr>Input_Projekt</vt:lpstr>
      <vt:lpstr>Eingabe_Angebotswerte</vt:lpstr>
      <vt:lpstr>Ergebnisse_LZK</vt:lpstr>
      <vt:lpstr>Ergebnisse_Umweltkosten</vt:lpstr>
      <vt:lpstr>Grunddaten</vt:lpstr>
      <vt:lpstr>Erg.Pkw_1</vt:lpstr>
      <vt:lpstr>Erg.Pkw_2</vt:lpstr>
      <vt:lpstr>Erg.Pkw_3</vt:lpstr>
      <vt:lpstr>Erg.Pkw_4</vt:lpstr>
      <vt:lpstr>Erg.Pkw_5</vt:lpstr>
      <vt:lpstr>Emissionsfaktoren</vt:lpstr>
      <vt:lpstr>Listen</vt:lpstr>
      <vt:lpstr>Doku</vt:lpstr>
      <vt:lpstr>Quellen</vt:lpstr>
      <vt:lpstr>Anbieter1</vt:lpstr>
      <vt:lpstr>Anbieter2</vt:lpstr>
      <vt:lpstr>Anbieter3</vt:lpstr>
      <vt:lpstr>Anbieter4</vt:lpstr>
      <vt:lpstr>Anbieter5</vt:lpstr>
      <vt:lpstr>AntrArtList</vt:lpstr>
      <vt:lpstr>Antriebsart1</vt:lpstr>
      <vt:lpstr>Antriebsart2</vt:lpstr>
      <vt:lpstr>Antriebsart3</vt:lpstr>
      <vt:lpstr>Antriebsart4</vt:lpstr>
      <vt:lpstr>Antriebsart5</vt:lpstr>
      <vt:lpstr>Batterie_THG</vt:lpstr>
      <vt:lpstr>Batterie1</vt:lpstr>
      <vt:lpstr>Batterie2</vt:lpstr>
      <vt:lpstr>Batterie3</vt:lpstr>
      <vt:lpstr>Batterie4</vt:lpstr>
      <vt:lpstr>Batterie5</vt:lpstr>
      <vt:lpstr>CO2_1</vt:lpstr>
      <vt:lpstr>CO2_2</vt:lpstr>
      <vt:lpstr>CO2_3</vt:lpstr>
      <vt:lpstr>CO2_4</vt:lpstr>
      <vt:lpstr>CO2_5</vt:lpstr>
      <vt:lpstr>CO2List</vt:lpstr>
      <vt:lpstr>Datum</vt:lpstr>
      <vt:lpstr>Doku!Druckbereich</vt:lpstr>
      <vt:lpstr>Erg.Pkw_1!Druckbereich</vt:lpstr>
      <vt:lpstr>Erg.Pkw_2!Druckbereich</vt:lpstr>
      <vt:lpstr>Ergebnisse_LZK!Druckbereich</vt:lpstr>
      <vt:lpstr>Ergebnisse_Umweltkosten!Druckbereich</vt:lpstr>
      <vt:lpstr>Quellen!Druckbereich</vt:lpstr>
      <vt:lpstr>EnEinheitList</vt:lpstr>
      <vt:lpstr>Energie1</vt:lpstr>
      <vt:lpstr>Energie2</vt:lpstr>
      <vt:lpstr>Energie3</vt:lpstr>
      <vt:lpstr>Energie4</vt:lpstr>
      <vt:lpstr>Energie5</vt:lpstr>
      <vt:lpstr>EnKostList</vt:lpstr>
      <vt:lpstr>EnList1</vt:lpstr>
      <vt:lpstr>EnList2</vt:lpstr>
      <vt:lpstr>EnList3</vt:lpstr>
      <vt:lpstr>EnList4</vt:lpstr>
      <vt:lpstr>EnList5</vt:lpstr>
      <vt:lpstr>EnUmrechList</vt:lpstr>
      <vt:lpstr>Fahrleistung</vt:lpstr>
      <vt:lpstr>FinArt</vt:lpstr>
      <vt:lpstr>FinArtList</vt:lpstr>
      <vt:lpstr>Gesamtpreis1</vt:lpstr>
      <vt:lpstr>Gesamtpreis2</vt:lpstr>
      <vt:lpstr>Gesamtpreis3</vt:lpstr>
      <vt:lpstr>Gesamtpreis4</vt:lpstr>
      <vt:lpstr>Gesamtpreis5</vt:lpstr>
      <vt:lpstr>Haltedauer</vt:lpstr>
      <vt:lpstr>Hersteller1</vt:lpstr>
      <vt:lpstr>Hersteller2</vt:lpstr>
      <vt:lpstr>Hersteller3</vt:lpstr>
      <vt:lpstr>Hersteller4</vt:lpstr>
      <vt:lpstr>Hersteller5</vt:lpstr>
      <vt:lpstr>KaufpreisRech</vt:lpstr>
      <vt:lpstr>KaufpreisRechList</vt:lpstr>
      <vt:lpstr>Kost_NOX</vt:lpstr>
      <vt:lpstr>Kost_Partikel</vt:lpstr>
      <vt:lpstr>Kost_THG</vt:lpstr>
      <vt:lpstr>KostTHGList</vt:lpstr>
      <vt:lpstr>KostTHGVorgabe</vt:lpstr>
      <vt:lpstr>LeasSondZahl1</vt:lpstr>
      <vt:lpstr>LeasSondZahl2</vt:lpstr>
      <vt:lpstr>LeasSondZahl3</vt:lpstr>
      <vt:lpstr>LeasSondZahl4</vt:lpstr>
      <vt:lpstr>LeasSondZahl5</vt:lpstr>
      <vt:lpstr>maxCO2</vt:lpstr>
      <vt:lpstr>maxCO2PHEV</vt:lpstr>
      <vt:lpstr>maxCO2Van</vt:lpstr>
      <vt:lpstr>maxkWh</vt:lpstr>
      <vt:lpstr>maxkWhVan</vt:lpstr>
      <vt:lpstr>maxNOX</vt:lpstr>
      <vt:lpstr>maxPM</vt:lpstr>
      <vt:lpstr>minReichwPHEV</vt:lpstr>
      <vt:lpstr>Modell1</vt:lpstr>
      <vt:lpstr>Modell2</vt:lpstr>
      <vt:lpstr>Modell3</vt:lpstr>
      <vt:lpstr>Modell4</vt:lpstr>
      <vt:lpstr>Modell5</vt:lpstr>
      <vt:lpstr>NOX_1</vt:lpstr>
      <vt:lpstr>NOX_2</vt:lpstr>
      <vt:lpstr>NOX_3</vt:lpstr>
      <vt:lpstr>NOX_4</vt:lpstr>
      <vt:lpstr>NOX_5</vt:lpstr>
      <vt:lpstr>Partikel1</vt:lpstr>
      <vt:lpstr>Partikel2</vt:lpstr>
      <vt:lpstr>Partikel3</vt:lpstr>
      <vt:lpstr>Partikel4</vt:lpstr>
      <vt:lpstr>Partikel5</vt:lpstr>
      <vt:lpstr>Projektname_Z1</vt:lpstr>
      <vt:lpstr>Projektname_Z2</vt:lpstr>
      <vt:lpstr>Projektname_Z3</vt:lpstr>
      <vt:lpstr>ReichwPHEV1</vt:lpstr>
      <vt:lpstr>ReichwPHEV2</vt:lpstr>
      <vt:lpstr>ReichwPHEV3</vt:lpstr>
      <vt:lpstr>ReichwPHEV4</vt:lpstr>
      <vt:lpstr>ReichwPHEV5</vt:lpstr>
      <vt:lpstr>Segment</vt:lpstr>
      <vt:lpstr>SegmentList</vt:lpstr>
      <vt:lpstr>Unternehmen</vt:lpstr>
      <vt:lpstr>VerbEl_WLTP1</vt:lpstr>
      <vt:lpstr>VerbEl_WLTP2</vt:lpstr>
      <vt:lpstr>VerbEl_WLTP3</vt:lpstr>
      <vt:lpstr>VerbEl_WLTP4</vt:lpstr>
      <vt:lpstr>VerbEl_WLTP5</vt:lpstr>
      <vt:lpstr>VerbElPHEV1</vt:lpstr>
      <vt:lpstr>VerbElPHEV2</vt:lpstr>
      <vt:lpstr>VerbElPHEV3</vt:lpstr>
      <vt:lpstr>VerbElPHEV4</vt:lpstr>
      <vt:lpstr>VerbElPHEV5</vt:lpstr>
      <vt:lpstr>VerbPHEV1</vt:lpstr>
      <vt:lpstr>VerbPHEV2</vt:lpstr>
      <vt:lpstr>VerbPHEV3</vt:lpstr>
      <vt:lpstr>VerbPHEV4</vt:lpstr>
      <vt:lpstr>VerbPHEV5</vt:lpstr>
      <vt:lpstr>Verbrauch1</vt:lpstr>
      <vt:lpstr>Verbrauch2</vt:lpstr>
      <vt:lpstr>Verbrauch3</vt:lpstr>
      <vt:lpstr>Verbrauch4</vt:lpstr>
      <vt:lpstr>Verbrauch5</vt:lpstr>
      <vt:lpstr>Zusatzinfo1</vt:lpstr>
      <vt:lpstr>Zusatzinfo2</vt:lpstr>
      <vt:lpstr>Zusatzinfo3</vt:lpstr>
      <vt:lpstr>Zusatzinfo4</vt:lpstr>
      <vt:lpstr>Zusatzinfo5</vt:lpstr>
      <vt:lpstr>Zustaendig</vt:lpstr>
    </vt:vector>
  </TitlesOfParts>
  <Manager/>
  <Company>IFEU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Berhard Bruch</dc:creator>
  <cp:keywords/>
  <dc:description/>
  <cp:lastModifiedBy>Julia Pelzeter</cp:lastModifiedBy>
  <cp:revision/>
  <dcterms:created xsi:type="dcterms:W3CDTF">2022-09-15T12:00:20Z</dcterms:created>
  <dcterms:modified xsi:type="dcterms:W3CDTF">2024-02-06T11:16:46Z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0x0101006A4EC2B1D245C948A7120CE5A36078F8</vt:lpwstr>
  </property>
  <property fmtid="{D5CDD505-2E9C-101B-9397-08002B2CF9AE}" pid="3" name="MediaServiceImageTags">
    <vt:lpwstr/>
  </property>
</Properties>
</file>